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codeName="{C7D7DFBA-A3E8-793F-BDBE-722D05640CCE}"/>
  <workbookPr codeName="ThisWorkbook"/>
  <bookViews>
    <workbookView xWindow="-15" yWindow="-15" windowWidth="19260" windowHeight="6030" tabRatio="676"/>
  </bookViews>
  <sheets>
    <sheet name="Contents" sheetId="50" r:id="rId1"/>
    <sheet name="Quality Assurance" sheetId="51" state="hidden" r:id="rId2"/>
    <sheet name="Inputs" sheetId="58" r:id="rId3"/>
    <sheet name="Outputs" sheetId="60" r:id="rId4"/>
    <sheet name="Summary" sheetId="53" r:id="rId5"/>
    <sheet name="Duct and fibre costs" sheetId="54" r:id="rId6"/>
    <sheet name="Operational costs" sheetId="55" r:id="rId7"/>
    <sheet name="Maintenance costs" sheetId="56" r:id="rId8"/>
    <sheet name="Support costs" sheetId="57" r:id="rId9"/>
  </sheets>
  <definedNames>
    <definedName name="_xlnm.Print_Area" localSheetId="0">Contents!$A$1:$D$15</definedName>
    <definedName name="_xlnm.Print_Area" localSheetId="5">'Duct and fibre costs'!$A$1:$I$24</definedName>
    <definedName name="_xlnm.Print_Area" localSheetId="2">Inputs!$A$1:$M$133</definedName>
    <definedName name="_xlnm.Print_Area" localSheetId="7">'Maintenance costs'!$A$1:$P$85</definedName>
    <definedName name="_xlnm.Print_Area" localSheetId="6">'Operational costs'!$A$1:$L$79</definedName>
    <definedName name="_xlnm.Print_Area" localSheetId="3">Outputs!$A$1:$S$71</definedName>
    <definedName name="_xlnm.Print_Area" localSheetId="4">Summary!$A$1:$O$152</definedName>
    <definedName name="_xlnm.Print_Area" localSheetId="8">'Support costs'!$A$1:$F$9</definedName>
    <definedName name="QA_box">Contents!#REF!</definedName>
    <definedName name="Style">Contents!#REF!</definedName>
    <definedName name="Version_box">Contents!#REF!</definedName>
    <definedName name="Workbook.Author" localSheetId="1">'Quality Assurance'!#REF!</definedName>
    <definedName name="Workbook.Author">Contents!#REF!</definedName>
    <definedName name="Workbook.Authors_Email_Address" localSheetId="1">'Quality Assurance'!#REF!</definedName>
    <definedName name="Workbook.Location">Contents!#REF!</definedName>
    <definedName name="Workbook.Objective" localSheetId="1">'Quality Assurance'!#REF!</definedName>
    <definedName name="Workbook.Objective">Contents!#REF!</definedName>
    <definedName name="Workbook.Status" localSheetId="1">'Quality Assurance'!#REF!</definedName>
    <definedName name="Workbook.Status">Contents!#REF!</definedName>
    <definedName name="Workbook.Title" localSheetId="1">'Quality Assurance'!#REF!</definedName>
    <definedName name="Workbook.Title">Contents!#REF!</definedName>
    <definedName name="Workbook.Version" localSheetId="1">'Quality Assurance'!#REF!</definedName>
    <definedName name="Workbook.Version">Contents!#REF!</definedName>
  </definedNames>
  <calcPr calcId="125725"/>
</workbook>
</file>

<file path=xl/calcChain.xml><?xml version="1.0" encoding="utf-8"?>
<calcChain xmlns="http://schemas.openxmlformats.org/spreadsheetml/2006/main">
  <c r="G47" i="58"/>
  <c r="G44"/>
  <c r="G42"/>
  <c r="G39"/>
  <c r="G38"/>
  <c r="G37"/>
  <c r="G36"/>
  <c r="G35"/>
  <c r="G33"/>
  <c r="G32"/>
  <c r="G29"/>
  <c r="G26"/>
  <c r="G24"/>
  <c r="G22"/>
  <c r="G20"/>
  <c r="G5"/>
  <c r="J45" i="56"/>
  <c r="G46" i="58"/>
  <c r="G34"/>
  <c r="G25"/>
  <c r="G23"/>
  <c r="G21"/>
  <c r="G17"/>
  <c r="G4"/>
  <c r="D98" i="53"/>
  <c r="D15" i="54"/>
  <c r="L38" i="60"/>
  <c r="M38"/>
  <c r="N38"/>
  <c r="L39"/>
  <c r="M39"/>
  <c r="N39"/>
  <c r="M37"/>
  <c r="N37"/>
  <c r="L37"/>
  <c r="E41" i="56" l="1"/>
  <c r="E66"/>
  <c r="D14" i="54"/>
  <c r="D13"/>
  <c r="E37" i="55"/>
  <c r="D40"/>
  <c r="D41"/>
  <c r="E36"/>
  <c r="D28"/>
  <c r="D29"/>
  <c r="D30"/>
  <c r="D31"/>
  <c r="D32"/>
  <c r="D33"/>
  <c r="D34"/>
  <c r="D27"/>
  <c r="D12"/>
  <c r="D6" i="54"/>
  <c r="D5"/>
  <c r="D17" i="55"/>
  <c r="D18"/>
  <c r="D19"/>
  <c r="D20"/>
  <c r="D21"/>
  <c r="D22"/>
  <c r="D16"/>
  <c r="F8" i="60" l="1"/>
  <c r="E8"/>
  <c r="D8"/>
  <c r="C8"/>
  <c r="F6"/>
  <c r="E6"/>
  <c r="D6"/>
  <c r="C6"/>
  <c r="D43"/>
  <c r="C57"/>
  <c r="F14"/>
  <c r="E14"/>
  <c r="D14"/>
  <c r="C14"/>
  <c r="H60"/>
  <c r="H61"/>
  <c r="H62"/>
  <c r="H59"/>
  <c r="H57"/>
  <c r="H58"/>
  <c r="H56"/>
  <c r="G60"/>
  <c r="G61"/>
  <c r="G62"/>
  <c r="G59"/>
  <c r="B38"/>
  <c r="D67" l="1"/>
  <c r="D68"/>
  <c r="D49"/>
  <c r="K7"/>
  <c r="K6"/>
  <c r="N6"/>
  <c r="C49"/>
  <c r="E49"/>
  <c r="O7"/>
  <c r="R6"/>
  <c r="R7"/>
  <c r="L7"/>
  <c r="O6"/>
  <c r="L6"/>
  <c r="Q7"/>
  <c r="N7"/>
  <c r="Q6"/>
  <c r="S7"/>
  <c r="M7"/>
  <c r="P6"/>
  <c r="M6"/>
  <c r="P7"/>
  <c r="S6"/>
  <c r="D24" i="55"/>
  <c r="I60" i="60"/>
  <c r="I62"/>
  <c r="I61"/>
  <c r="I59"/>
  <c r="F60" i="53"/>
  <c r="E60"/>
  <c r="D60"/>
  <c r="C24" i="56"/>
  <c r="C21"/>
  <c r="C17"/>
  <c r="C18"/>
  <c r="C16"/>
  <c r="C12"/>
  <c r="C13"/>
  <c r="C11"/>
  <c r="C7"/>
  <c r="C8"/>
  <c r="C6"/>
  <c r="B24"/>
  <c r="B40" s="1"/>
  <c r="B21"/>
  <c r="B39" s="1"/>
  <c r="B17"/>
  <c r="B18"/>
  <c r="B38" s="1"/>
  <c r="B16"/>
  <c r="B35" s="1"/>
  <c r="B12"/>
  <c r="B13"/>
  <c r="B37" s="1"/>
  <c r="B11"/>
  <c r="B34" s="1"/>
  <c r="B7"/>
  <c r="B36" s="1"/>
  <c r="B8"/>
  <c r="B6"/>
  <c r="B33" s="1"/>
  <c r="D8" i="54"/>
  <c r="E75" i="56"/>
  <c r="E122" i="53" l="1"/>
  <c r="D116"/>
  <c r="D117"/>
  <c r="D118"/>
  <c r="D119"/>
  <c r="C117"/>
  <c r="C118"/>
  <c r="C119"/>
  <c r="C116"/>
  <c r="E116" l="1"/>
  <c r="E118"/>
  <c r="E119"/>
  <c r="E117"/>
  <c r="E121" l="1"/>
  <c r="D78"/>
  <c r="E78"/>
  <c r="D79"/>
  <c r="E79"/>
  <c r="D80"/>
  <c r="E80"/>
  <c r="D81"/>
  <c r="E81"/>
  <c r="D82"/>
  <c r="E82"/>
  <c r="D83"/>
  <c r="E83"/>
  <c r="D84"/>
  <c r="E84"/>
  <c r="D85"/>
  <c r="E85"/>
  <c r="D86"/>
  <c r="E86"/>
  <c r="D87"/>
  <c r="E87"/>
  <c r="D88"/>
  <c r="E88"/>
  <c r="D89"/>
  <c r="E89"/>
  <c r="D90"/>
  <c r="E90"/>
  <c r="D91"/>
  <c r="E91"/>
  <c r="E77"/>
  <c r="D77"/>
  <c r="D93" l="1"/>
  <c r="F91"/>
  <c r="H30" s="1"/>
  <c r="G65" i="55" s="1"/>
  <c r="F90" i="53"/>
  <c r="G30" s="1"/>
  <c r="F65" i="55" s="1"/>
  <c r="F89" i="53"/>
  <c r="F36" s="1"/>
  <c r="E71" i="55" s="1"/>
  <c r="F88" i="53"/>
  <c r="F34" s="1"/>
  <c r="E69" i="55" s="1"/>
  <c r="F87" i="53"/>
  <c r="F32" s="1"/>
  <c r="E67" i="55" s="1"/>
  <c r="F86" i="53"/>
  <c r="F85"/>
  <c r="E36" s="1"/>
  <c r="D71" i="55" s="1"/>
  <c r="F84" i="53"/>
  <c r="F83"/>
  <c r="E32" s="1"/>
  <c r="D67" i="55" s="1"/>
  <c r="F82" i="53"/>
  <c r="F81"/>
  <c r="F80"/>
  <c r="F79"/>
  <c r="F78"/>
  <c r="F77"/>
  <c r="D102" i="58" l="1"/>
  <c r="D103"/>
  <c r="G57" i="60" s="1"/>
  <c r="I57" s="1"/>
  <c r="D104" i="58"/>
  <c r="G58" i="60" s="1"/>
  <c r="I58" s="1"/>
  <c r="H88" i="53"/>
  <c r="D32"/>
  <c r="C67" i="55" s="1"/>
  <c r="C33" i="56"/>
  <c r="D33" s="1"/>
  <c r="D30" i="53"/>
  <c r="C65" i="55" s="1"/>
  <c r="C50" i="60"/>
  <c r="C51" s="1"/>
  <c r="E30" i="53"/>
  <c r="D65" i="55" s="1"/>
  <c r="D50" i="60"/>
  <c r="D51" s="1"/>
  <c r="F30" i="53"/>
  <c r="E65" i="55" s="1"/>
  <c r="E50" i="60"/>
  <c r="E51" s="1"/>
  <c r="D36" i="53"/>
  <c r="C71" i="55" s="1"/>
  <c r="H84" i="53"/>
  <c r="E34"/>
  <c r="D69" i="55" s="1"/>
  <c r="H79" i="53"/>
  <c r="D34"/>
  <c r="C69" i="55" s="1"/>
  <c r="D5" i="57"/>
  <c r="D4"/>
  <c r="E70" i="56"/>
  <c r="E71"/>
  <c r="E69"/>
  <c r="E65"/>
  <c r="E67" s="1"/>
  <c r="E42"/>
  <c r="F27"/>
  <c r="F26"/>
  <c r="C39"/>
  <c r="D39" s="1"/>
  <c r="E24"/>
  <c r="D24"/>
  <c r="E21"/>
  <c r="D21"/>
  <c r="D17"/>
  <c r="E17"/>
  <c r="D18"/>
  <c r="E18"/>
  <c r="E16"/>
  <c r="D16"/>
  <c r="D12"/>
  <c r="E12"/>
  <c r="D13"/>
  <c r="E13"/>
  <c r="E11"/>
  <c r="D11"/>
  <c r="D7"/>
  <c r="E6"/>
  <c r="D6"/>
  <c r="E8"/>
  <c r="D8"/>
  <c r="E7"/>
  <c r="C28" i="55"/>
  <c r="C29"/>
  <c r="C30"/>
  <c r="C31"/>
  <c r="C32"/>
  <c r="C33"/>
  <c r="C34"/>
  <c r="C27"/>
  <c r="C19"/>
  <c r="C20"/>
  <c r="C21"/>
  <c r="C22"/>
  <c r="B17"/>
  <c r="C17"/>
  <c r="B18"/>
  <c r="C18"/>
  <c r="C16"/>
  <c r="B16"/>
  <c r="I5"/>
  <c r="H5"/>
  <c r="I4"/>
  <c r="H4"/>
  <c r="G5"/>
  <c r="G4"/>
  <c r="F5"/>
  <c r="F4"/>
  <c r="E5"/>
  <c r="E6" s="1"/>
  <c r="E8" s="1"/>
  <c r="E4"/>
  <c r="C54" s="1"/>
  <c r="D9" i="54"/>
  <c r="D11" s="1"/>
  <c r="D16" s="1"/>
  <c r="F51" i="60" l="1"/>
  <c r="C67"/>
  <c r="C56"/>
  <c r="F27" i="55"/>
  <c r="C52" s="1"/>
  <c r="E73" i="56"/>
  <c r="E16" i="55"/>
  <c r="F16"/>
  <c r="C50" s="1"/>
  <c r="D12" i="54"/>
  <c r="D17" s="1"/>
  <c r="C51" i="55"/>
  <c r="G56" i="60"/>
  <c r="E123" i="53"/>
  <c r="F16" i="56"/>
  <c r="I56" i="60" l="1"/>
  <c r="I63" s="1"/>
  <c r="J60" s="1"/>
  <c r="D18" i="54"/>
  <c r="E76" i="56"/>
  <c r="E78" s="1"/>
  <c r="J58" i="60" l="1"/>
  <c r="J56"/>
  <c r="J61"/>
  <c r="J62"/>
  <c r="J57"/>
  <c r="J59"/>
  <c r="F24"/>
  <c r="F18"/>
  <c r="C23" i="54"/>
  <c r="D59" i="53" s="1"/>
  <c r="H78" s="1"/>
  <c r="E22" i="54"/>
  <c r="F58" i="53" s="1"/>
  <c r="F12" i="60"/>
  <c r="D22" i="54"/>
  <c r="E58" i="53" s="1"/>
  <c r="C22" i="54"/>
  <c r="D58" i="53" s="1"/>
  <c r="H77" s="1"/>
  <c r="E23" i="54"/>
  <c r="F59" i="53" s="1"/>
  <c r="H87" s="1"/>
  <c r="G22" i="54"/>
  <c r="H58" i="53" s="1"/>
  <c r="H91" s="1"/>
  <c r="D23" i="54"/>
  <c r="E59" i="53" s="1"/>
  <c r="H83" s="1"/>
  <c r="F22" i="54"/>
  <c r="G58" i="53" s="1"/>
  <c r="H90" s="1"/>
  <c r="C40" i="56"/>
  <c r="D40" s="1"/>
  <c r="C35"/>
  <c r="D35" s="1"/>
  <c r="C34"/>
  <c r="D34" s="1"/>
  <c r="F93" i="53"/>
  <c r="F24" i="56"/>
  <c r="F21"/>
  <c r="F17"/>
  <c r="G17" s="1"/>
  <c r="F18"/>
  <c r="G18" s="1"/>
  <c r="F12"/>
  <c r="F6"/>
  <c r="G6" s="1"/>
  <c r="F11"/>
  <c r="E40"/>
  <c r="E39"/>
  <c r="E38"/>
  <c r="E37"/>
  <c r="E36"/>
  <c r="E35"/>
  <c r="E34"/>
  <c r="E33"/>
  <c r="G33" s="1"/>
  <c r="E34" i="55"/>
  <c r="E33"/>
  <c r="E32"/>
  <c r="E31"/>
  <c r="E30"/>
  <c r="E29"/>
  <c r="E28"/>
  <c r="E27"/>
  <c r="G54"/>
  <c r="F54"/>
  <c r="E54"/>
  <c r="D54"/>
  <c r="G53"/>
  <c r="F53"/>
  <c r="E53"/>
  <c r="D53"/>
  <c r="C53"/>
  <c r="E22"/>
  <c r="E21"/>
  <c r="G51"/>
  <c r="F51"/>
  <c r="E51"/>
  <c r="D51"/>
  <c r="E20"/>
  <c r="E19"/>
  <c r="E18"/>
  <c r="E17"/>
  <c r="G47"/>
  <c r="F47"/>
  <c r="E47"/>
  <c r="D47"/>
  <c r="C47"/>
  <c r="I7"/>
  <c r="H7"/>
  <c r="G7"/>
  <c r="F7"/>
  <c r="E7"/>
  <c r="I6"/>
  <c r="H6"/>
  <c r="G6"/>
  <c r="F6"/>
  <c r="F31" i="60" l="1"/>
  <c r="D6" i="57"/>
  <c r="D7" s="1"/>
  <c r="F70" i="53" s="1"/>
  <c r="J47" i="56"/>
  <c r="F33"/>
  <c r="H33" s="1"/>
  <c r="J33" s="1"/>
  <c r="G39"/>
  <c r="F39"/>
  <c r="H39" s="1"/>
  <c r="J39" s="1"/>
  <c r="G34"/>
  <c r="F34"/>
  <c r="H34" s="1"/>
  <c r="J34" s="1"/>
  <c r="G40"/>
  <c r="F40"/>
  <c r="H40" s="1"/>
  <c r="J40" s="1"/>
  <c r="C38"/>
  <c r="D38" s="1"/>
  <c r="G52" i="55"/>
  <c r="H45" i="53" s="1"/>
  <c r="F50" i="55"/>
  <c r="C36" i="56"/>
  <c r="D36" s="1"/>
  <c r="E44" i="53"/>
  <c r="G44"/>
  <c r="D46"/>
  <c r="F46"/>
  <c r="H46"/>
  <c r="E47"/>
  <c r="G47"/>
  <c r="D44"/>
  <c r="F44"/>
  <c r="H44"/>
  <c r="E46"/>
  <c r="G46"/>
  <c r="D47"/>
  <c r="F47"/>
  <c r="H47"/>
  <c r="H86"/>
  <c r="H89"/>
  <c r="H80"/>
  <c r="H81"/>
  <c r="H82"/>
  <c r="E152" s="1"/>
  <c r="H85"/>
  <c r="D52" i="55"/>
  <c r="F52"/>
  <c r="E52"/>
  <c r="F7" i="56"/>
  <c r="G7" s="1"/>
  <c r="C37"/>
  <c r="D37" s="1"/>
  <c r="F13"/>
  <c r="G13" s="1"/>
  <c r="F8"/>
  <c r="G8" s="1"/>
  <c r="G24"/>
  <c r="F19"/>
  <c r="G21"/>
  <c r="G11"/>
  <c r="G16"/>
  <c r="G19" s="1"/>
  <c r="H8" i="55"/>
  <c r="F46" s="1"/>
  <c r="F55" s="1"/>
  <c r="I8"/>
  <c r="G46" s="1"/>
  <c r="G55" s="1"/>
  <c r="G50"/>
  <c r="F8"/>
  <c r="D46" s="1"/>
  <c r="C46"/>
  <c r="G8"/>
  <c r="E46" s="1"/>
  <c r="D50"/>
  <c r="E104" i="53" l="1"/>
  <c r="H93"/>
  <c r="I40" i="56"/>
  <c r="I34"/>
  <c r="I39"/>
  <c r="I33"/>
  <c r="K33" s="1"/>
  <c r="B58"/>
  <c r="B57"/>
  <c r="B54"/>
  <c r="G38"/>
  <c r="F38"/>
  <c r="H38" s="1"/>
  <c r="J38" s="1"/>
  <c r="G35"/>
  <c r="F35"/>
  <c r="H35" s="1"/>
  <c r="J35" s="1"/>
  <c r="C55" i="55"/>
  <c r="C49"/>
  <c r="D104" i="53"/>
  <c r="E50" i="55"/>
  <c r="F43" i="53" s="1"/>
  <c r="F9" i="56"/>
  <c r="C38" i="60"/>
  <c r="G43" i="53"/>
  <c r="D43"/>
  <c r="E43"/>
  <c r="H43"/>
  <c r="G48"/>
  <c r="F45"/>
  <c r="G45"/>
  <c r="H48"/>
  <c r="D45"/>
  <c r="E45"/>
  <c r="H70"/>
  <c r="G70"/>
  <c r="D70"/>
  <c r="E70"/>
  <c r="F14" i="56"/>
  <c r="G49" i="55"/>
  <c r="G12" i="56"/>
  <c r="G14" s="1"/>
  <c r="G9"/>
  <c r="F49" i="55"/>
  <c r="E55"/>
  <c r="E49"/>
  <c r="D55"/>
  <c r="D49"/>
  <c r="E105" i="53" l="1"/>
  <c r="K39" i="56"/>
  <c r="F57" s="1"/>
  <c r="K40"/>
  <c r="F58" s="1"/>
  <c r="K34"/>
  <c r="F55" s="1"/>
  <c r="E57"/>
  <c r="D57"/>
  <c r="C57"/>
  <c r="E58"/>
  <c r="D58"/>
  <c r="C58"/>
  <c r="F54"/>
  <c r="C54"/>
  <c r="E54"/>
  <c r="D54"/>
  <c r="I35"/>
  <c r="K35" s="1"/>
  <c r="I38"/>
  <c r="K38" s="1"/>
  <c r="B56"/>
  <c r="B55"/>
  <c r="G36"/>
  <c r="F36"/>
  <c r="H36" s="1"/>
  <c r="J36" s="1"/>
  <c r="G37"/>
  <c r="F37"/>
  <c r="H37" s="1"/>
  <c r="J37" s="1"/>
  <c r="C56" i="55"/>
  <c r="F105" i="53"/>
  <c r="E48"/>
  <c r="F48"/>
  <c r="H42"/>
  <c r="H6" s="1"/>
  <c r="D48"/>
  <c r="E42"/>
  <c r="F42"/>
  <c r="G42"/>
  <c r="G6" s="1"/>
  <c r="G56" i="55"/>
  <c r="D42" i="53"/>
  <c r="F56" i="55"/>
  <c r="F64" s="1"/>
  <c r="D56"/>
  <c r="E56"/>
  <c r="F8" i="53" l="1"/>
  <c r="H57" i="56"/>
  <c r="I57"/>
  <c r="G57"/>
  <c r="H55"/>
  <c r="G55"/>
  <c r="I55"/>
  <c r="I58"/>
  <c r="G58"/>
  <c r="H58"/>
  <c r="E55"/>
  <c r="D55"/>
  <c r="C55"/>
  <c r="H54"/>
  <c r="G54"/>
  <c r="I54"/>
  <c r="E56"/>
  <c r="D56"/>
  <c r="C56"/>
  <c r="F56"/>
  <c r="I37"/>
  <c r="K37" s="1"/>
  <c r="I36"/>
  <c r="K36" s="1"/>
  <c r="E8" i="53"/>
  <c r="D8"/>
  <c r="D105"/>
  <c r="D6"/>
  <c r="C64" i="55"/>
  <c r="C70" s="1"/>
  <c r="G64"/>
  <c r="D66"/>
  <c r="D64"/>
  <c r="D68"/>
  <c r="E68"/>
  <c r="E66"/>
  <c r="E64"/>
  <c r="C66"/>
  <c r="C68"/>
  <c r="G90" i="53"/>
  <c r="G91"/>
  <c r="G87"/>
  <c r="D142" s="1"/>
  <c r="E6"/>
  <c r="F6"/>
  <c r="E10"/>
  <c r="F10"/>
  <c r="D10"/>
  <c r="G89" l="1"/>
  <c r="G83"/>
  <c r="D138" s="1"/>
  <c r="G85"/>
  <c r="E59" i="56"/>
  <c r="G56"/>
  <c r="I56"/>
  <c r="H56"/>
  <c r="J41"/>
  <c r="J42" s="1"/>
  <c r="K41"/>
  <c r="K42" s="1"/>
  <c r="G77" i="53"/>
  <c r="G81"/>
  <c r="C72" i="55"/>
  <c r="K87" i="53"/>
  <c r="G78"/>
  <c r="K78" s="1"/>
  <c r="G84"/>
  <c r="D139" s="1"/>
  <c r="G82"/>
  <c r="K82" s="1"/>
  <c r="G79"/>
  <c r="K79" s="1"/>
  <c r="G88"/>
  <c r="K88" s="1"/>
  <c r="G86"/>
  <c r="D141" s="1"/>
  <c r="G80"/>
  <c r="K83" l="1"/>
  <c r="E107"/>
  <c r="I59" i="56"/>
  <c r="E61" s="1"/>
  <c r="E62" s="1"/>
  <c r="J44"/>
  <c r="C98" i="53"/>
  <c r="D132"/>
  <c r="D107"/>
  <c r="D106"/>
  <c r="G93"/>
  <c r="K77"/>
  <c r="D143"/>
  <c r="E141" s="1"/>
  <c r="E24" i="60" s="1"/>
  <c r="C99" i="53"/>
  <c r="D134"/>
  <c r="K84"/>
  <c r="D137"/>
  <c r="E137" s="1"/>
  <c r="D24" i="60" s="1"/>
  <c r="D133" i="53"/>
  <c r="K86"/>
  <c r="D31" i="60" l="1"/>
  <c r="E31"/>
  <c r="E132" i="53"/>
  <c r="C24" i="60" s="1"/>
  <c r="J46" i="56"/>
  <c r="J48" s="1"/>
  <c r="E149" i="53"/>
  <c r="P24" i="60"/>
  <c r="S24"/>
  <c r="M24"/>
  <c r="R24"/>
  <c r="L24"/>
  <c r="O24"/>
  <c r="F72" i="55"/>
  <c r="C70" i="60" l="1"/>
  <c r="C31"/>
  <c r="E83" i="56"/>
  <c r="F64" i="53" s="1"/>
  <c r="F35" s="1"/>
  <c r="E85" i="56"/>
  <c r="F66" i="53" s="1"/>
  <c r="F33" s="1"/>
  <c r="G83" i="56"/>
  <c r="H64" i="53" s="1"/>
  <c r="H29" s="1"/>
  <c r="H37" s="1"/>
  <c r="C85" i="56"/>
  <c r="D66" i="53" s="1"/>
  <c r="D33" s="1"/>
  <c r="D84" i="56"/>
  <c r="C83"/>
  <c r="D64" i="53" s="1"/>
  <c r="F83" i="56"/>
  <c r="G64" i="53" s="1"/>
  <c r="E84" i="56"/>
  <c r="F65" i="53" s="1"/>
  <c r="D85" i="56"/>
  <c r="E66" i="53" s="1"/>
  <c r="E33" s="1"/>
  <c r="C84" i="56"/>
  <c r="D65" i="53" s="1"/>
  <c r="D31" s="1"/>
  <c r="D83" i="56"/>
  <c r="E64" i="53" s="1"/>
  <c r="Q24" i="60"/>
  <c r="G72" i="55"/>
  <c r="D70"/>
  <c r="E65" i="53"/>
  <c r="E31" s="1"/>
  <c r="E70" i="55"/>
  <c r="E72" s="1"/>
  <c r="K24" i="60"/>
  <c r="N24"/>
  <c r="F29" i="53"/>
  <c r="D44" i="60"/>
  <c r="D56"/>
  <c r="E56" s="1"/>
  <c r="C36"/>
  <c r="C71" l="1"/>
  <c r="D29" i="53"/>
  <c r="D35"/>
  <c r="D72" i="55"/>
  <c r="H72" s="1"/>
  <c r="E29" i="53"/>
  <c r="E35"/>
  <c r="F31"/>
  <c r="F37" s="1"/>
  <c r="G29"/>
  <c r="G37" s="1"/>
  <c r="D37" l="1"/>
  <c r="E37"/>
  <c r="I37" l="1"/>
  <c r="D60" i="55" s="1"/>
  <c r="C77" l="1"/>
  <c r="D52" i="53" s="1"/>
  <c r="D7" s="1"/>
  <c r="D15" s="1"/>
  <c r="E78" i="55"/>
  <c r="F53" i="53" s="1"/>
  <c r="F9" s="1"/>
  <c r="D78" i="55"/>
  <c r="E53" i="53" s="1"/>
  <c r="E9" s="1"/>
  <c r="F77" i="55"/>
  <c r="G52" i="53" s="1"/>
  <c r="G7" s="1"/>
  <c r="C79" i="55"/>
  <c r="D54" i="53" s="1"/>
  <c r="D11" s="1"/>
  <c r="E77" i="55"/>
  <c r="F52" i="53" s="1"/>
  <c r="F7" s="1"/>
  <c r="D77" i="55"/>
  <c r="E52" i="53" s="1"/>
  <c r="E7" s="1"/>
  <c r="E79" i="55"/>
  <c r="F54" i="53" s="1"/>
  <c r="F11" s="1"/>
  <c r="C78" i="55"/>
  <c r="D53" i="53" s="1"/>
  <c r="D9" s="1"/>
  <c r="D79" i="55"/>
  <c r="E54" i="53" s="1"/>
  <c r="E11" s="1"/>
  <c r="G77" i="55"/>
  <c r="H52" i="53" s="1"/>
  <c r="H7" s="1"/>
  <c r="H22" l="1"/>
  <c r="H15"/>
  <c r="D23"/>
  <c r="D16"/>
  <c r="I85"/>
  <c r="D140" s="1"/>
  <c r="E15"/>
  <c r="D24"/>
  <c r="D17"/>
  <c r="E23"/>
  <c r="E16"/>
  <c r="E24"/>
  <c r="E17"/>
  <c r="F24"/>
  <c r="F17"/>
  <c r="I89"/>
  <c r="D144" s="1"/>
  <c r="F15"/>
  <c r="I90"/>
  <c r="D145" s="1"/>
  <c r="G15"/>
  <c r="F23"/>
  <c r="F16"/>
  <c r="G22"/>
  <c r="E22"/>
  <c r="F22"/>
  <c r="I91"/>
  <c r="K91" s="1"/>
  <c r="D22"/>
  <c r="I80"/>
  <c r="I81"/>
  <c r="K85" l="1"/>
  <c r="E109"/>
  <c r="E106"/>
  <c r="K90"/>
  <c r="K89"/>
  <c r="K81"/>
  <c r="K80"/>
  <c r="I93"/>
  <c r="D146"/>
  <c r="D135"/>
  <c r="D99"/>
  <c r="D136"/>
  <c r="K93" l="1"/>
  <c r="D148"/>
  <c r="E150"/>
  <c r="E125" s="1"/>
  <c r="E126" s="1"/>
  <c r="D42" i="60" l="1"/>
  <c r="D45" s="1"/>
  <c r="C52" s="1"/>
  <c r="C12" s="1"/>
  <c r="D57"/>
  <c r="E57" s="1"/>
  <c r="E58" s="1"/>
  <c r="K56" s="1"/>
  <c r="C37"/>
  <c r="G116" i="53"/>
  <c r="C26" i="60" s="1"/>
  <c r="G117" i="53"/>
  <c r="D26" i="60" s="1"/>
  <c r="G119" i="53"/>
  <c r="F26" i="60" s="1"/>
  <c r="G118" i="53"/>
  <c r="E26" i="60" s="1"/>
  <c r="C33" l="1"/>
  <c r="D33"/>
  <c r="F33"/>
  <c r="E33"/>
  <c r="C35"/>
  <c r="D70"/>
  <c r="L56"/>
  <c r="K58"/>
  <c r="K60"/>
  <c r="K59"/>
  <c r="K57"/>
  <c r="E52"/>
  <c r="E12" s="1"/>
  <c r="P13" s="1"/>
  <c r="D52"/>
  <c r="D12" s="1"/>
  <c r="O12" s="1"/>
  <c r="K62"/>
  <c r="K61"/>
  <c r="O25"/>
  <c r="M25"/>
  <c r="R25"/>
  <c r="Q25"/>
  <c r="L25"/>
  <c r="N25"/>
  <c r="P25"/>
  <c r="S25"/>
  <c r="K25"/>
  <c r="K12"/>
  <c r="Q13"/>
  <c r="N12"/>
  <c r="Q12"/>
  <c r="K13"/>
  <c r="N13"/>
  <c r="D71" l="1"/>
  <c r="C68"/>
  <c r="C18"/>
  <c r="L62"/>
  <c r="F20" s="1"/>
  <c r="L59"/>
  <c r="L58"/>
  <c r="E18" s="1"/>
  <c r="P18" s="1"/>
  <c r="L61"/>
  <c r="E20" s="1"/>
  <c r="L57"/>
  <c r="D18" s="1"/>
  <c r="O18" s="1"/>
  <c r="L60"/>
  <c r="D20" s="1"/>
  <c r="M12"/>
  <c r="O13"/>
  <c r="R13"/>
  <c r="R12"/>
  <c r="S12"/>
  <c r="S13"/>
  <c r="M13"/>
  <c r="P12"/>
  <c r="L12"/>
  <c r="L13"/>
  <c r="P19" l="1"/>
  <c r="N19"/>
  <c r="Q19"/>
  <c r="K19"/>
  <c r="O19"/>
  <c r="L19"/>
  <c r="L18"/>
  <c r="C69"/>
  <c r="R18"/>
  <c r="S18"/>
  <c r="R19"/>
  <c r="N18"/>
  <c r="Q18"/>
  <c r="K18"/>
  <c r="M19"/>
  <c r="C20"/>
  <c r="C62"/>
  <c r="C61"/>
  <c r="S19"/>
  <c r="M18"/>
  <c r="D69" l="1"/>
  <c r="C63"/>
</calcChain>
</file>

<file path=xl/comments1.xml><?xml version="1.0" encoding="utf-8"?>
<comments xmlns="http://schemas.openxmlformats.org/spreadsheetml/2006/main">
  <authors>
    <author>antony.thorley</author>
  </authors>
  <commentList>
    <comment ref="C54" authorId="0">
      <text>
        <r>
          <rPr>
            <sz val="9"/>
            <color indexed="81"/>
            <rFont val="Tahoma"/>
            <family val="2"/>
          </rPr>
          <t xml:space="preserve">Includes, subrack, backplane, duplicated power supplies, duplicated switch, controller and comms cards
</t>
        </r>
      </text>
    </comment>
    <comment ref="C55" authorId="0">
      <text>
        <r>
          <rPr>
            <sz val="9"/>
            <color indexed="81"/>
            <rFont val="Tahoma"/>
            <family val="2"/>
          </rPr>
          <t>Interface to carry Partial Private Circuits</t>
        </r>
      </text>
    </comment>
    <comment ref="C56" authorId="0">
      <text>
        <r>
          <rPr>
            <sz val="9"/>
            <color indexed="81"/>
            <rFont val="Tahoma"/>
            <family val="2"/>
          </rPr>
          <t>Protected line interfaces between the BT located POH mux  and the OCP located POH mux</t>
        </r>
      </text>
    </comment>
    <comment ref="C58" authorId="0">
      <text>
        <r>
          <rPr>
            <sz val="9"/>
            <color indexed="81"/>
            <rFont val="Tahoma"/>
            <family val="2"/>
          </rPr>
          <t xml:space="preserve">Includes, subrack, backplane, duplicated power supplies, duplicated switch, controller and comms cards
</t>
        </r>
      </text>
    </comment>
    <comment ref="C59" authorId="0">
      <text>
        <r>
          <rPr>
            <sz val="9"/>
            <color indexed="81"/>
            <rFont val="Tahoma"/>
            <family val="2"/>
          </rPr>
          <t>Interface to carry Partial Private Circuits</t>
        </r>
      </text>
    </comment>
    <comment ref="C60" authorId="0">
      <text>
        <r>
          <rPr>
            <sz val="9"/>
            <color indexed="81"/>
            <rFont val="Tahoma"/>
            <family val="2"/>
          </rPr>
          <t>Protected line interfaces between the BT located POH mux  and the OCP located POH mux</t>
        </r>
      </text>
    </comment>
    <comment ref="C62" authorId="0">
      <text>
        <r>
          <rPr>
            <sz val="9"/>
            <color indexed="81"/>
            <rFont val="Tahoma"/>
            <family val="2"/>
          </rPr>
          <t xml:space="preserve">Includes, subrack, backplane, duplicated power supplies, duplicated switch, controller and comms cards
</t>
        </r>
      </text>
    </comment>
    <comment ref="C63" authorId="0">
      <text>
        <r>
          <rPr>
            <sz val="9"/>
            <color indexed="81"/>
            <rFont val="Tahoma"/>
            <family val="2"/>
          </rPr>
          <t>Interface to carry Partial Private Circuits</t>
        </r>
      </text>
    </comment>
    <comment ref="C64" authorId="0">
      <text>
        <r>
          <rPr>
            <sz val="9"/>
            <color indexed="81"/>
            <rFont val="Tahoma"/>
            <family val="2"/>
          </rPr>
          <t>Protected line interfaces between the BT located POH mux  and the OCP located POH mux</t>
        </r>
      </text>
    </comment>
  </commentList>
</comments>
</file>

<file path=xl/sharedStrings.xml><?xml version="1.0" encoding="utf-8"?>
<sst xmlns="http://schemas.openxmlformats.org/spreadsheetml/2006/main" count="866" uniqueCount="402">
  <si>
    <t>Sheet</t>
  </si>
  <si>
    <t>Description</t>
  </si>
  <si>
    <t>Status</t>
  </si>
  <si>
    <t>Version</t>
  </si>
  <si>
    <t>Details</t>
  </si>
  <si>
    <t>Contents</t>
  </si>
  <si>
    <t>This contents sheet</t>
  </si>
  <si>
    <t xml:space="preserve"> </t>
  </si>
  <si>
    <t>Verified by</t>
  </si>
  <si>
    <t>Enter name of reviewer</t>
  </si>
  <si>
    <t>Type of QA</t>
  </si>
  <si>
    <t>Self-check by author</t>
  </si>
  <si>
    <t>External QA</t>
  </si>
  <si>
    <t>QA results delivery format</t>
  </si>
  <si>
    <t>Report</t>
  </si>
  <si>
    <t>Presentation</t>
  </si>
  <si>
    <t>Notes to spreadsheet</t>
  </si>
  <si>
    <t>Enter version of workbook checked</t>
  </si>
  <si>
    <t>QA notes</t>
  </si>
  <si>
    <t>Status (issue resolved?)</t>
  </si>
  <si>
    <t>Issue</t>
  </si>
  <si>
    <t>QA completed but issues to resolve</t>
  </si>
  <si>
    <t>Internal QA - informal</t>
  </si>
  <si>
    <t>Internal QA - formal</t>
  </si>
  <si>
    <t>Yes</t>
  </si>
  <si>
    <t>Date</t>
  </si>
  <si>
    <t>Check input data</t>
  </si>
  <si>
    <t>Check calculations</t>
  </si>
  <si>
    <t>Check methodology</t>
  </si>
  <si>
    <t>Check implementation</t>
  </si>
  <si>
    <t>Enter date review completed</t>
  </si>
  <si>
    <t>Objective of QA</t>
  </si>
  <si>
    <t>Quality Assurance</t>
  </si>
  <si>
    <t>Workbook QA</t>
  </si>
  <si>
    <t>SMA-1</t>
  </si>
  <si>
    <t>Price</t>
  </si>
  <si>
    <t>Quantity</t>
  </si>
  <si>
    <t>Core</t>
  </si>
  <si>
    <t>STM-1 L1.1 trib</t>
  </si>
  <si>
    <t>STM-1 L1.1 line</t>
  </si>
  <si>
    <t>SMA-4</t>
  </si>
  <si>
    <t>STM-4 L4.1 line</t>
  </si>
  <si>
    <t>SMA-16</t>
  </si>
  <si>
    <t>STM-16 L16.1 line</t>
  </si>
  <si>
    <t>4x2</t>
  </si>
  <si>
    <t>System cost</t>
  </si>
  <si>
    <t>16x2</t>
  </si>
  <si>
    <t>CSH</t>
  </si>
  <si>
    <t>ISH ext</t>
  </si>
  <si>
    <t>ISH</t>
  </si>
  <si>
    <t>Distance to OCP footbox (m)</t>
  </si>
  <si>
    <t>Operational costs</t>
  </si>
  <si>
    <t>Power</t>
  </si>
  <si>
    <t>W</t>
  </si>
  <si>
    <t>Rack space</t>
  </si>
  <si>
    <t>%</t>
  </si>
  <si>
    <t>Number per rack</t>
  </si>
  <si>
    <t>Rack footprint</t>
  </si>
  <si>
    <t>m2</t>
  </si>
  <si>
    <t>Equivalent system footprint</t>
  </si>
  <si>
    <t>BT LLU costs from</t>
  </si>
  <si>
    <t>http://www.openreach.co.uk/orpg/pricing/loadProductPrices.do?data=%2Bs55xT91%2FPruY0Pxlyi4HVnqs1m6OcKz301sgolk8P2FdiaKKPEfrCsJCb3sZkzJ</t>
  </si>
  <si>
    <t>Area calculated from greater of 3.85 x footprint OR 500W per m2</t>
  </si>
  <si>
    <t>Rack space units</t>
  </si>
  <si>
    <t>Min</t>
  </si>
  <si>
    <t>max</t>
  </si>
  <si>
    <t>BT price</t>
  </si>
  <si>
    <t>Cost/rack</t>
  </si>
  <si>
    <t>Actual (m2)</t>
  </si>
  <si>
    <t>by power (m2)</t>
  </si>
  <si>
    <t>Accomodation</t>
  </si>
  <si>
    <t>Rack</t>
  </si>
  <si>
    <t>Cooling</t>
  </si>
  <si>
    <t>DC power</t>
  </si>
  <si>
    <t>Power rental</t>
  </si>
  <si>
    <t>Power usage</t>
  </si>
  <si>
    <t>Security and service</t>
  </si>
  <si>
    <t>Total</t>
  </si>
  <si>
    <t>Max (W)</t>
  </si>
  <si>
    <t>BT power rental per kW per year</t>
  </si>
  <si>
    <t>Security rental per year per m2</t>
  </si>
  <si>
    <t>Service charge per year per m2</t>
  </si>
  <si>
    <t>Network management</t>
  </si>
  <si>
    <t>Most of the operational costs relate to the space or power consumption of the equipment</t>
  </si>
  <si>
    <t>Security/service</t>
  </si>
  <si>
    <t>BT accommodation per m2</t>
  </si>
  <si>
    <t>BT air conditioning per kW</t>
  </si>
  <si>
    <t>Average cost of a failure</t>
  </si>
  <si>
    <t>Failures per year</t>
  </si>
  <si>
    <t>Cost of failures per year</t>
  </si>
  <si>
    <t>MTBF (yrs)</t>
  </si>
  <si>
    <t>Equipment</t>
  </si>
  <si>
    <t>Cost</t>
  </si>
  <si>
    <t>SMA-1 cores</t>
  </si>
  <si>
    <t>SMA-4 cores</t>
  </si>
  <si>
    <t>SMA-16 cores</t>
  </si>
  <si>
    <t>L1.1</t>
  </si>
  <si>
    <t>L4.1</t>
  </si>
  <si>
    <t>L16.1</t>
  </si>
  <si>
    <t>Stores spares replacement time (weeks)</t>
  </si>
  <si>
    <t>System</t>
  </si>
  <si>
    <t>Mean time to repair (hours)</t>
  </si>
  <si>
    <t>Cost of repair engineers time per hour</t>
  </si>
  <si>
    <t>Number of UK locations for spares</t>
  </si>
  <si>
    <t>Number of PoH ADMs</t>
  </si>
  <si>
    <t>Annual spares charge per PoH</t>
  </si>
  <si>
    <t>Maintenance costs</t>
  </si>
  <si>
    <t>CSH annual rental</t>
  </si>
  <si>
    <t>CSH annual maintenance incl NM</t>
  </si>
  <si>
    <t>Annual maintenance costs for both sets of equipment including network management</t>
  </si>
  <si>
    <t>ISH ext annual rental</t>
  </si>
  <si>
    <t>ISH ext annual maintenance incl NM</t>
  </si>
  <si>
    <t>Annual maintenance costs including network management</t>
  </si>
  <si>
    <t>ISH annual rental</t>
  </si>
  <si>
    <t>ISH annual maintenance incl NM</t>
  </si>
  <si>
    <t>Costs</t>
  </si>
  <si>
    <t>Maintenance incl network management</t>
  </si>
  <si>
    <t>Annual</t>
  </si>
  <si>
    <t>ISH Extn</t>
  </si>
  <si>
    <t>Retail</t>
  </si>
  <si>
    <t>Space</t>
  </si>
  <si>
    <t>Retail other</t>
  </si>
  <si>
    <t>Totals</t>
  </si>
  <si>
    <t>Sales and marketing</t>
  </si>
  <si>
    <t>Support costs</t>
  </si>
  <si>
    <t>Full time people required</t>
  </si>
  <si>
    <t>Annual cost per person</t>
  </si>
  <si>
    <t>from 'Operational costs' worksheet</t>
  </si>
  <si>
    <t>from 'Maintenance costs' worksheet</t>
  </si>
  <si>
    <t>from 'Support costs' worksheet</t>
  </si>
  <si>
    <t>from itemised costs below</t>
  </si>
  <si>
    <t>SDH</t>
  </si>
  <si>
    <t>PDH &amp; retail</t>
  </si>
  <si>
    <t>Maintenance</t>
  </si>
  <si>
    <t>For comparison to BT cost stacks</t>
  </si>
  <si>
    <t>Annual sales, rack, cooling, power, security and service costs</t>
  </si>
  <si>
    <t>Duct maintenance</t>
  </si>
  <si>
    <t>Number of duct faults per 100km per year</t>
  </si>
  <si>
    <t>Length of duct (m)</t>
  </si>
  <si>
    <t>Number of engineers to fix a duct</t>
  </si>
  <si>
    <t>Time taken to fix a duct (hours)</t>
  </si>
  <si>
    <t>Duct engineer cost per hour</t>
  </si>
  <si>
    <t>PDH + retail</t>
  </si>
  <si>
    <t>Circuits</t>
  </si>
  <si>
    <t>Type</t>
  </si>
  <si>
    <t>Volume</t>
  </si>
  <si>
    <t>sub 2M</t>
  </si>
  <si>
    <t>2M</t>
  </si>
  <si>
    <t>BTs estimated costs</t>
  </si>
  <si>
    <t>34M</t>
  </si>
  <si>
    <t>155M</t>
  </si>
  <si>
    <t>Ofcom estimate</t>
  </si>
  <si>
    <t>Summary</t>
  </si>
  <si>
    <t>Creates a cost summary that is used to derive the key output numbers</t>
  </si>
  <si>
    <t>Power (W)</t>
  </si>
  <si>
    <t>Size (rack)</t>
  </si>
  <si>
    <t>BT power usage per kW</t>
  </si>
  <si>
    <t>LLU costs</t>
  </si>
  <si>
    <t>MTBF (years)</t>
  </si>
  <si>
    <t>Spare holdings</t>
  </si>
  <si>
    <t>Based on industry norm</t>
  </si>
  <si>
    <t>non PPC volumes</t>
  </si>
  <si>
    <t>Input from BT</t>
  </si>
  <si>
    <t>Key outputs</t>
  </si>
  <si>
    <t>Network Management</t>
  </si>
  <si>
    <t>Duct and fibre depreciation</t>
  </si>
  <si>
    <t>Duct depreciation (years)</t>
  </si>
  <si>
    <t>Fibre depreciation (years)</t>
  </si>
  <si>
    <t>Duct &amp; fibre depreciation</t>
  </si>
  <si>
    <t>BT volume and recovery estimates</t>
  </si>
  <si>
    <t>PPC circuit type</t>
  </si>
  <si>
    <t>Bearer charge</t>
  </si>
  <si>
    <t>Bearer</t>
  </si>
  <si>
    <t>Volumes</t>
  </si>
  <si>
    <t>Sub 2M</t>
  </si>
  <si>
    <t>34M/45M</t>
  </si>
  <si>
    <t>BT PDH + retail recovery</t>
  </si>
  <si>
    <t>Difference</t>
  </si>
  <si>
    <t>Ofcom costs</t>
  </si>
  <si>
    <t>Type I</t>
  </si>
  <si>
    <t>Type II</t>
  </si>
  <si>
    <t>Saving to evenly distribute</t>
  </si>
  <si>
    <t>BT charge</t>
  </si>
  <si>
    <t>total</t>
  </si>
  <si>
    <t>34/45M</t>
  </si>
  <si>
    <t>Proportion</t>
  </si>
  <si>
    <t>Reduction</t>
  </si>
  <si>
    <t>SDH bearer</t>
  </si>
  <si>
    <t>Based on Openreach footway excess construction charges: http://www.openreach.co.uk/orpg/home/products/pricing/loadProductPriceDetails.do?data=ZdqG%2Fxv%2FjSuBEEITnogh5uNOEwQ2%2FKws5WBAVcIlcholMnGHsqdC0vzO163bJmh34D91D7M0q8u%2F%0AIlSgtIFAKw%3D%3D</t>
  </si>
  <si>
    <t>Number of fibres per duct</t>
  </si>
  <si>
    <t>Cost of 4 fibres per meter</t>
  </si>
  <si>
    <t>Duct &amp; sub duct cost per meter</t>
  </si>
  <si>
    <t>BT volumes and published charges</t>
  </si>
  <si>
    <t>Duct costs</t>
  </si>
  <si>
    <t>from 'Duct costs' worksheet</t>
  </si>
  <si>
    <t>A POH uses 4 fibres</t>
  </si>
  <si>
    <t>Inputs</t>
  </si>
  <si>
    <t>Duct and fibre costs</t>
  </si>
  <si>
    <t>Estimate based on industry experience</t>
  </si>
  <si>
    <t>Duct &amp; fibre costs</t>
  </si>
  <si>
    <t>Outputs</t>
  </si>
  <si>
    <t>All variable parameters are entered here</t>
  </si>
  <si>
    <t>Key outputs from the model</t>
  </si>
  <si>
    <t>LLU costs (calculated per year at 365.25 x 24)</t>
  </si>
  <si>
    <t>http://www.openreach.co.uk/orpg/home/products/pricing/loadProductPrices.do?data=%2Bs55xT91%2FPruY0Pxlyi4HVnqs1m6OcKz301sgolk8P2FdiaKKPEfrCsJCb3sZkzJ</t>
  </si>
  <si>
    <t>Cost of a failure</t>
  </si>
  <si>
    <t>Duct and fibre annual costs</t>
  </si>
  <si>
    <t>Cost of capital employed</t>
  </si>
  <si>
    <t>All of the variables for the bottom-up model are entered on this worksheet</t>
  </si>
  <si>
    <t>Ofcom estimate based on industry experience</t>
  </si>
  <si>
    <t>Based on BT’s accounting policies</t>
  </si>
  <si>
    <t>Based onfigures confirmed by OCPs, MTBF from Ofcom estimate</t>
  </si>
  <si>
    <t>Estimated cost and MTBF, BT confirmed power consumption</t>
  </si>
  <si>
    <t>The key outputs from the model and the source of many of the numbers used in the consultation document</t>
  </si>
  <si>
    <t>Gathers the conclusions from each of the remaining worksheets and derives the figures for the outputs</t>
  </si>
  <si>
    <t>Consultation Document numbers</t>
  </si>
  <si>
    <t>Bearer costs</t>
  </si>
  <si>
    <t>Annual (Operational + support)</t>
  </si>
  <si>
    <t>Total SDH POH costs</t>
  </si>
  <si>
    <t>Type II costs excluding bearers</t>
  </si>
  <si>
    <t>Calculates the duct and fibre costs for the CSH and ISH extn POH</t>
  </si>
  <si>
    <t>Uses the mux size and power consumption to calculate the cost of housing, powering, cooling and securing the POH equipment.  Also derives the network management charge per mux</t>
  </si>
  <si>
    <t>Uses the cost and failure rates for the muxes to derive the maintenance charge including spares holding.  Also calculates the duct and fibre maintenance costs</t>
  </si>
  <si>
    <t>Calculates the costs including overheads for POH marketing and sales</t>
  </si>
  <si>
    <t>Calculation to distribute the difference between the Ofcom bottom-up model and BTs estimates proportionally between the POH charges</t>
  </si>
  <si>
    <t>Current BT charges</t>
  </si>
  <si>
    <t>Sum of the bearer costs for type I or type II POH</t>
  </si>
  <si>
    <t>Sum of the support costs for type I or type II POH</t>
  </si>
  <si>
    <t>Sum of the annual costs minus support costs for type I or type II POH</t>
  </si>
  <si>
    <t>Sum of the annual costs for type I or type II POH</t>
  </si>
  <si>
    <t>Sum of the retail SDH costs for type II POH</t>
  </si>
  <si>
    <t>BT retail revenue</t>
  </si>
  <si>
    <t>Comparison between the BT top-down cost estimates and Ofcom bottom-up cost estimates</t>
  </si>
  <si>
    <t>Costs for POH space, power, air conditioning, security and network management</t>
  </si>
  <si>
    <t>Covers POH equipment maintenance, spares holding and duct maintenance</t>
  </si>
  <si>
    <t>Covers POH marketing</t>
  </si>
  <si>
    <t>Estimated typical BT - OCP POH node separation spine fibre</t>
  </si>
  <si>
    <t>POH charge</t>
  </si>
  <si>
    <t>BT Type I POH charges</t>
  </si>
  <si>
    <t>Number and type of POH</t>
  </si>
  <si>
    <t>Total BT POH volumes</t>
  </si>
  <si>
    <t>POH type</t>
  </si>
  <si>
    <t>Type II POH (£ per circuit)</t>
  </si>
  <si>
    <t>Type I POH (£ per POH)</t>
  </si>
  <si>
    <t>POH charges total</t>
  </si>
  <si>
    <t>POH charges type I</t>
  </si>
  <si>
    <t>POH charges type II</t>
  </si>
  <si>
    <t>POH cost Summary</t>
  </si>
  <si>
    <t>Per POH costs</t>
  </si>
  <si>
    <t>POH annual operational costs</t>
  </si>
  <si>
    <t>POH annual maintenance costs</t>
  </si>
  <si>
    <t>POH annual support costs</t>
  </si>
  <si>
    <t>from per POH costs multiplied by quantities of each type of PoH</t>
  </si>
  <si>
    <t>Total POH costs</t>
  </si>
  <si>
    <t>BT POH volumes minus non PPC</t>
  </si>
  <si>
    <t>Per efficient POH charge</t>
  </si>
  <si>
    <t>BT PDH and retail POH cost recovery</t>
  </si>
  <si>
    <t>Summary of annual operational costs for POH equipement</t>
  </si>
  <si>
    <t>POH Maintenance costs by POH type</t>
  </si>
  <si>
    <t>Annual cost per POH</t>
  </si>
  <si>
    <t>LRIC adj</t>
  </si>
  <si>
    <t>BT adj price</t>
  </si>
  <si>
    <t>MTBF - Mean Time Between Failures, the predicted average time betwen failure of a system</t>
  </si>
  <si>
    <t>CSH requires maintenance of two sets of equipment and a bearer</t>
  </si>
  <si>
    <t>ISH ext requires maintenance of one set of equipment and a bearer</t>
  </si>
  <si>
    <t>ISH  requires maintenance of one set of equipment and no bearer</t>
  </si>
  <si>
    <t>Racks are 600mm wide by 300mm deep</t>
  </si>
  <si>
    <t>BT adj accommodation price per m2</t>
  </si>
  <si>
    <t>BT adj air conditioning price per kW</t>
  </si>
  <si>
    <t>BT adj power rental price per kW per year</t>
  </si>
  <si>
    <t>BT adj power usage price per kWhr</t>
  </si>
  <si>
    <t>BT adj duct cost per meter</t>
  </si>
  <si>
    <t>BT adj cost of 4 fibres per meter</t>
  </si>
  <si>
    <t>From BT rule that footprint is the larger of 3.85 times the actual footprint or 1 m2 per 500W</t>
  </si>
  <si>
    <t>BT number used for comparison purposes only</t>
  </si>
  <si>
    <t>Weighted average cost of capaital (WACC)</t>
  </si>
  <si>
    <t>Duct cost</t>
  </si>
  <si>
    <t>Fibre cost</t>
  </si>
  <si>
    <t>Duct recovery time (years)</t>
  </si>
  <si>
    <t>Fibre recovery time (years)</t>
  </si>
  <si>
    <t>Duct annuity</t>
  </si>
  <si>
    <t>Fibre annuity</t>
  </si>
  <si>
    <t>Outputs from the cost worksheets</t>
  </si>
  <si>
    <t>Total costs by POH</t>
  </si>
  <si>
    <t>Total POH costs by 2M circuits</t>
  </si>
  <si>
    <t>Per 2M circuit</t>
  </si>
  <si>
    <t>Note SMA-1 can carry 63 x 2M circuits, SMA-4 can carry 252 x 2M circuits, SMA-16 can carry 1008 x 2M circuits, 4x2 can carry 4 x 2M circuits and 16 x 2 can carry 16 x 2M circuits</t>
  </si>
  <si>
    <t>Bearer costs excluded from this summary</t>
  </si>
  <si>
    <t>Duct and fibre annual cost (per POH)</t>
  </si>
  <si>
    <t>Duct cost for the fraction of fibres used by one POH assuming a fully utilised duct</t>
  </si>
  <si>
    <t>Cost of four fibres</t>
  </si>
  <si>
    <t>BT annual cost per 2M circuit</t>
  </si>
  <si>
    <t>BT 2M circuits to break even</t>
  </si>
  <si>
    <t>Extra annual rental</t>
  </si>
  <si>
    <t>Note: to calculate the annual costs per 2m circuit requires the additional input of the pre-existing POH annual charge Cells J28:M32 from BTs PPC price list - see input worksheet for web link</t>
  </si>
  <si>
    <t>BT published charges http://www.btwholesale.com/pages/cmsjsps/service_and_support/service_support_hub/online_pricing_hub/cpl_hub/cpl_pricing_hub/cpl_browsable_sections/cpl_browsable_sectionb_8.jsp</t>
  </si>
  <si>
    <t>Numbers only used to provide per 2M circuit illustrative calculations on the Ouput worksheet</t>
  </si>
  <si>
    <t>Shows the per 2M circuit costs of efficient POH and estimates of how many 2M circuits justify a move from retail to wholesale (annual rental only)</t>
  </si>
  <si>
    <t>Note ISH does not have a bearer cost</t>
  </si>
  <si>
    <t>Fibres per duct</t>
  </si>
  <si>
    <t>Estimated from a confidential survey that showed that network management accounts for 23% of total network operating costs</t>
  </si>
  <si>
    <t>Ratio of network management to total network costs</t>
  </si>
  <si>
    <t>Total network costs excluding network management</t>
  </si>
  <si>
    <t>CSH cost</t>
  </si>
  <si>
    <t>CSH volume</t>
  </si>
  <si>
    <t>ISH cost</t>
  </si>
  <si>
    <t>ISH volume</t>
  </si>
  <si>
    <t>ISH ext volume</t>
  </si>
  <si>
    <t>ISH ext cost</t>
  </si>
  <si>
    <t>Retail cost</t>
  </si>
  <si>
    <t>Retail volume</t>
  </si>
  <si>
    <t>Used to estimate network management costs</t>
  </si>
  <si>
    <t>Network management costs to be allocated</t>
  </si>
  <si>
    <t>Network management charges are allocated in the same ratio as operational costs.  Note that CSH has double the allocation of ISH and ISH ext because CSH uses two muxes</t>
  </si>
  <si>
    <t>Network management costs</t>
  </si>
  <si>
    <t>Network management allocation ratios</t>
  </si>
  <si>
    <t>CSH ratio</t>
  </si>
  <si>
    <t>ISH ext ratio</t>
  </si>
  <si>
    <t>ISH ratio</t>
  </si>
  <si>
    <t>Retail ratio</t>
  </si>
  <si>
    <t>Average rack cost</t>
  </si>
  <si>
    <t>Average power cost per W</t>
  </si>
  <si>
    <t>Also used below to set network management allocation ratios</t>
  </si>
  <si>
    <t>Note retail POH are configured as CSH, with BT equipment on both BT and OCP sites</t>
  </si>
  <si>
    <t>Network management charge per POH set according to ratio above of the NM costs to be allocated</t>
  </si>
  <si>
    <t>Cost per year per POH to fix a POH duct</t>
  </si>
  <si>
    <t>Number of fibres per POH</t>
  </si>
  <si>
    <t>Number of fibres in a POH duct</t>
  </si>
  <si>
    <t>Cost per year to fix a POH duct</t>
  </si>
  <si>
    <t>POH duct MTBF (years)</t>
  </si>
  <si>
    <t>Number of POH ADMs</t>
  </si>
  <si>
    <t>BT Type I POH ratios</t>
  </si>
  <si>
    <t>Ofcom estimated costs</t>
  </si>
  <si>
    <t>BT estimate to be recovered</t>
  </si>
  <si>
    <t>Ofcom estimate to be recovered</t>
  </si>
  <si>
    <t>Ratios</t>
  </si>
  <si>
    <t>Charge</t>
  </si>
  <si>
    <t>Calculates the POH charge if the Ofcom identified savings were only distributed across Type I POH with the same ratios between SMA-1, -4 and -16 as BT use</t>
  </si>
  <si>
    <t>Additional type I costs to be recovered</t>
  </si>
  <si>
    <t>BTs type I POH charge ratios</t>
  </si>
  <si>
    <t>Type I POH volumes</t>
  </si>
  <si>
    <t>Number of fibres used by a POH</t>
  </si>
  <si>
    <t>Note that BT are only responsible for the space and power costs for one of the two CSH muxes</t>
  </si>
  <si>
    <t>Note that BT are only responsible for the space and power costs for one of the two retail muxes</t>
  </si>
  <si>
    <t>Shows that SDH POH are significantly more cost effective than PDH POH when fully utilised.  Also that the larger SDH POH are more cost effective than the smaller SDH POH.</t>
  </si>
  <si>
    <t>Note that the included charges are common for CSH, ISH ext and ISH because they do not include maintenance costs or bearer costs.  Whilst CSH involves two muxes only one attracts power, space and security costs</t>
  </si>
  <si>
    <t>BT charges</t>
  </si>
  <si>
    <t>Ofcom PDH + retail costs</t>
  </si>
  <si>
    <t>Ofcom SDH costs</t>
  </si>
  <si>
    <t>Additional POH costs</t>
  </si>
  <si>
    <t>Capital costs</t>
  </si>
  <si>
    <t>Calculation of number of spares per store for all network</t>
  </si>
  <si>
    <t>POH volumes</t>
  </si>
  <si>
    <t>Total failures per year</t>
  </si>
  <si>
    <t>Total stores holding</t>
  </si>
  <si>
    <t>Total network volumes</t>
  </si>
  <si>
    <t>Spares holding</t>
  </si>
  <si>
    <t>Total used per week per store</t>
  </si>
  <si>
    <t>Spares cost per store</t>
  </si>
  <si>
    <t>Spares cost</t>
  </si>
  <si>
    <t>Additional spares cost due to POH</t>
  </si>
  <si>
    <t>Excluding POH failures per year</t>
  </si>
  <si>
    <t>Excluding POH used per week per store</t>
  </si>
  <si>
    <t>Excluding POH stores holding</t>
  </si>
  <si>
    <t>Storage charge for stores</t>
  </si>
  <si>
    <t>Excluding POH shelves</t>
  </si>
  <si>
    <t>Number of Shelves</t>
  </si>
  <si>
    <t>Additional spares storage cost due to POH</t>
  </si>
  <si>
    <t>Additional spares storage cost per POH</t>
  </si>
  <si>
    <t>Accommo-dation</t>
  </si>
  <si>
    <t>Spares need to be stored.  This calculation assumes that the spare shelves take space, whilst the spare line and tributary cards can be housed in the spare shelves.  The spares are stored unpowered so no charge for power or air-conditioning needs to be added.</t>
  </si>
  <si>
    <t>The incremental spares required for POH are calculated</t>
  </si>
  <si>
    <t>Proportion of SDH POH to total network equipment</t>
  </si>
  <si>
    <t>Proportion of PDH POH to total network equipment</t>
  </si>
  <si>
    <t xml:space="preserve">Spares holdings have been left as fractions, rather than rounding to whole numbers, to avoid unrealistic fluctuations in spares costs, when total stores rounds up and stores excluding POH rounds down.  If this happened, for example with SMA-16 cores, then the variation can be over £1M.  By retaining fractional spares the answer for POH spares is always equal to the average, irrespective of the number of spares stores, or the percentage of POH equipment to total network equipment. </t>
  </si>
  <si>
    <t>The number of spares per store location is derived from: the total number of items in the network and their predicted failure rate, divided by the number of stores.  This gives how many spares are expected to be used per store per week.  Combined with how many weeks it takes to order new spares, plus two extra to cover for excess demand, gives the number of spares that need to be held.</t>
  </si>
  <si>
    <t>per POH annual + maintenance + NM + bearer</t>
  </si>
  <si>
    <t>Option A: Distribute Ofcom identified savings only across Type I POH using BT ratios</t>
  </si>
  <si>
    <t>Option B: Distribute Ofcom identified savings evenly across all POH using BT ratios</t>
  </si>
  <si>
    <t>Option C: Use Ofcom numbers and assign costs to services according to the model ratios</t>
  </si>
  <si>
    <t>Option A calculation</t>
  </si>
  <si>
    <t>Option B calculation</t>
  </si>
  <si>
    <t>Option A annual cost per 2M circuit</t>
  </si>
  <si>
    <t>Option A 2M circuits to break even</t>
  </si>
  <si>
    <t>Option B annual cost per 2M circuit</t>
  </si>
  <si>
    <t>Option B 2M circuits to break even</t>
  </si>
  <si>
    <t>Option C annual cost per 2M circuit</t>
  </si>
  <si>
    <t>Option C 2M circuits to break even</t>
  </si>
  <si>
    <t>Option B charge</t>
  </si>
  <si>
    <t>Option B</t>
  </si>
  <si>
    <t>Ofcom calculated per circuit charges option C</t>
  </si>
  <si>
    <t>Ofcom option C cost assignment shown as a per POH charge</t>
  </si>
  <si>
    <t>Table 12 numbers</t>
  </si>
  <si>
    <t>Option A</t>
  </si>
  <si>
    <t>Option C</t>
  </si>
  <si>
    <t>Type I POH charges</t>
  </si>
  <si>
    <t>Type II POH charges</t>
  </si>
  <si>
    <t>Option C1</t>
  </si>
  <si>
    <t>Annual costs for the bearer duct and fibre</t>
  </si>
  <si>
    <t>Option C1: Use Ofcom numbers and assign costs to services according to the model ratios with a staggered increase for Type II POH - first stage increase of 50%</t>
  </si>
  <si>
    <t>LLCC PPC Points of Handover pricing review</t>
  </si>
  <si>
    <t>The difference between the spares required with and without POH equipment.</t>
  </si>
</sst>
</file>

<file path=xl/styles.xml><?xml version="1.0" encoding="utf-8"?>
<styleSheet xmlns="http://schemas.openxmlformats.org/spreadsheetml/2006/main">
  <numFmts count="17">
    <numFmt numFmtId="5" formatCode="&quot;£&quot;#,##0;\-&quot;£&quot;#,##0"/>
    <numFmt numFmtId="7" formatCode="&quot;£&quot;#,##0.00;\-&quot;£&quot;#,##0.00"/>
    <numFmt numFmtId="8" formatCode="&quot;£&quot;#,##0.00;[Red]\-&quot;£&quot;#,##0.00"/>
    <numFmt numFmtId="44" formatCode="_-&quot;£&quot;* #,##0.00_-;\-&quot;£&quot;* #,##0.00_-;_-&quot;£&quot;* &quot;-&quot;??_-;_-@_-"/>
    <numFmt numFmtId="164" formatCode="#,##0_);[Red]\-#,##0_);0_);@_)"/>
    <numFmt numFmtId="165" formatCode="#,##0.00_);[Red]\-#,##0.00_);0.00_);@_)"/>
    <numFmt numFmtId="166" formatCode="#,##0%;[Red]\-#,##0%;0%;@_)"/>
    <numFmt numFmtId="167" formatCode="_-&quot;£&quot;* #,##0_-;\-&quot;£&quot;* #,##0_-;_-&quot;£&quot;* &quot;-&quot;??_-;_-@_-"/>
    <numFmt numFmtId="168" formatCode="0.000"/>
    <numFmt numFmtId="169" formatCode="_(&quot;£&quot;* #,##0_);_(&quot;£&quot;* \(#,##0\);_(&quot;£&quot;* &quot;-&quot;??_);_(@_)"/>
    <numFmt numFmtId="170" formatCode="#,##0_ ;\-#,##0\ "/>
    <numFmt numFmtId="171" formatCode="0.0%"/>
    <numFmt numFmtId="172" formatCode="0.0"/>
    <numFmt numFmtId="173" formatCode="&quot;£&quot;#,##0"/>
    <numFmt numFmtId="174" formatCode="&quot;£&quot;#,##0.0000;\-&quot;£&quot;#,##0.0000"/>
    <numFmt numFmtId="175" formatCode="&quot;£&quot;#,##0.00"/>
    <numFmt numFmtId="176" formatCode="&quot;£&quot;#,##0.00000"/>
  </numFmts>
  <fonts count="24">
    <font>
      <sz val="9"/>
      <name val="Arial"/>
      <family val="2"/>
    </font>
    <font>
      <sz val="11"/>
      <color theme="1"/>
      <name val="Calibri"/>
      <family val="2"/>
      <scheme val="minor"/>
    </font>
    <font>
      <sz val="11"/>
      <color theme="1"/>
      <name val="Calibri"/>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16"/>
      <name val="Arial"/>
      <family val="2"/>
    </font>
    <font>
      <i/>
      <sz val="9"/>
      <name val="Arial"/>
      <family val="2"/>
    </font>
    <font>
      <sz val="6.3"/>
      <color indexed="63"/>
      <name val="Verdana"/>
      <family val="2"/>
    </font>
    <font>
      <i/>
      <sz val="9"/>
      <color indexed="10"/>
      <name val="Arial"/>
      <family val="2"/>
    </font>
    <font>
      <sz val="8"/>
      <color indexed="10"/>
      <name val="Arial"/>
      <family val="2"/>
    </font>
    <font>
      <i/>
      <sz val="9"/>
      <color rgb="FF969696"/>
      <name val="Arial"/>
      <family val="2"/>
    </font>
    <font>
      <b/>
      <sz val="14"/>
      <color theme="1"/>
      <name val="Calibri"/>
      <family val="2"/>
      <scheme val="minor"/>
    </font>
    <font>
      <b/>
      <sz val="11"/>
      <color rgb="FF00B0F0"/>
      <name val="Calibri"/>
      <family val="2"/>
      <scheme val="minor"/>
    </font>
    <font>
      <b/>
      <sz val="11"/>
      <color theme="1"/>
      <name val="Calibri"/>
      <family val="2"/>
      <scheme val="minor"/>
    </font>
    <font>
      <sz val="11"/>
      <color rgb="FF00B0F0"/>
      <name val="Calibri"/>
      <family val="2"/>
      <scheme val="minor"/>
    </font>
    <font>
      <sz val="11"/>
      <name val="Calibri"/>
      <family val="2"/>
      <scheme val="minor"/>
    </font>
    <font>
      <b/>
      <sz val="10"/>
      <name val="Arial"/>
      <family val="2"/>
    </font>
    <font>
      <b/>
      <sz val="11"/>
      <name val="Calibri"/>
      <family val="2"/>
      <scheme val="minor"/>
    </font>
    <font>
      <sz val="9"/>
      <color indexed="81"/>
      <name val="Tahoma"/>
      <family val="2"/>
    </font>
  </fonts>
  <fills count="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s>
  <borders count="73">
    <border>
      <left/>
      <right/>
      <top/>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theme="1"/>
      </right>
      <top/>
      <bottom style="thin">
        <color theme="1"/>
      </bottom>
      <diagonal/>
    </border>
    <border>
      <left/>
      <right/>
      <top/>
      <bottom style="thin">
        <color rgb="FF66006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rgb="FF660066"/>
      </left>
      <right style="thin">
        <color indexed="64"/>
      </right>
      <top style="thin">
        <color rgb="FF660066"/>
      </top>
      <bottom style="thin">
        <color indexed="64"/>
      </bottom>
      <diagonal/>
    </border>
    <border>
      <left style="thin">
        <color rgb="FF660066"/>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medium">
        <color theme="1"/>
      </left>
      <right/>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rgb="FF660066"/>
      </left>
      <right/>
      <top style="thin">
        <color rgb="FF660066"/>
      </top>
      <bottom style="thin">
        <color rgb="FF660066"/>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5">
    <xf numFmtId="0" fontId="0" fillId="0" borderId="0">
      <alignment vertical="center"/>
    </xf>
    <xf numFmtId="0" fontId="4" fillId="0" borderId="0" applyNumberFormat="0" applyAlignment="0">
      <alignment vertical="center"/>
    </xf>
    <xf numFmtId="165" fontId="15" fillId="0" borderId="0" applyNumberFormat="0" applyAlignment="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horizontal="left" vertical="center"/>
    </xf>
    <xf numFmtId="0" fontId="7" fillId="0" borderId="0" applyNumberFormat="0" applyFill="0" applyBorder="0" applyAlignment="0" applyProtection="0">
      <alignment vertical="center"/>
    </xf>
    <xf numFmtId="0" fontId="4" fillId="2" borderId="0" applyNumberFormat="0" applyFont="0" applyBorder="0" applyAlignment="0" applyProtection="0">
      <alignment vertical="center"/>
    </xf>
    <xf numFmtId="0" fontId="10" fillId="0" borderId="0" applyNumberFormat="0" applyAlignment="0">
      <alignment vertical="center"/>
    </xf>
    <xf numFmtId="0" fontId="9" fillId="0" borderId="0" applyNumberFormat="0" applyFill="0" applyBorder="0" applyAlignment="0" applyProtection="0">
      <alignment vertical="center"/>
    </xf>
    <xf numFmtId="164" fontId="4" fillId="0" borderId="0" applyFont="0" applyFill="0" applyBorder="0" applyAlignment="0" applyProtection="0">
      <alignment vertical="center"/>
    </xf>
    <xf numFmtId="0" fontId="4" fillId="3" borderId="0" applyNumberFormat="0" applyFont="0" applyBorder="0" applyAlignment="0" applyProtection="0">
      <alignment vertical="center"/>
    </xf>
    <xf numFmtId="166" fontId="4" fillId="0" borderId="0" applyFont="0" applyFill="0" applyBorder="0" applyAlignment="0" applyProtection="0">
      <alignment horizontal="right" vertical="center"/>
    </xf>
    <xf numFmtId="0" fontId="14" fillId="0" borderId="0" applyNumberFormat="0" applyFill="0" applyProtection="0">
      <alignment horizontal="left" vertical="center"/>
    </xf>
    <xf numFmtId="164" fontId="7" fillId="0" borderId="0" applyNumberFormat="0" applyFill="0" applyBorder="0" applyAlignment="0" applyProtection="0">
      <alignment vertical="center"/>
    </xf>
    <xf numFmtId="0" fontId="4" fillId="0" borderId="0" applyProtection="0">
      <alignment vertical="center"/>
    </xf>
    <xf numFmtId="0" fontId="4" fillId="0" borderId="2" applyNumberFormat="0" applyAlignment="0">
      <alignment vertical="center"/>
      <protection locked="0"/>
    </xf>
    <xf numFmtId="0" fontId="4" fillId="0" borderId="1" applyNumberFormat="0" applyAlignment="0">
      <alignment vertical="center"/>
      <protection locked="0"/>
    </xf>
    <xf numFmtId="0" fontId="14" fillId="0" borderId="0" applyNumberFormat="0" applyFill="0" applyBorder="0" applyAlignment="0" applyProtection="0">
      <alignment vertical="top"/>
    </xf>
    <xf numFmtId="0" fontId="4" fillId="4" borderId="0" applyNumberFormat="0" applyFont="0" applyBorder="0" applyAlignment="0" applyProtection="0">
      <alignment vertical="center"/>
    </xf>
    <xf numFmtId="0" fontId="4" fillId="5" borderId="0" applyNumberFormat="0" applyFont="0" applyBorder="0" applyAlignment="0" applyProtection="0">
      <alignment vertical="center"/>
    </xf>
    <xf numFmtId="0" fontId="9" fillId="0" borderId="0" applyFill="0" applyBorder="0" applyAlignment="0" applyProtection="0">
      <alignment vertical="center"/>
    </xf>
    <xf numFmtId="0" fontId="4" fillId="6" borderId="3" applyNumberFormat="0" applyFont="0" applyAlignment="0" applyProtection="0">
      <alignment vertical="center"/>
    </xf>
    <xf numFmtId="44" fontId="4" fillId="0" borderId="0" applyFont="0" applyFill="0" applyBorder="0" applyAlignment="0" applyProtection="0"/>
    <xf numFmtId="9" fontId="4" fillId="0" borderId="0" applyFont="0" applyFill="0" applyBorder="0" applyAlignment="0" applyProtection="0"/>
  </cellStyleXfs>
  <cellXfs count="539">
    <xf numFmtId="0" fontId="0" fillId="0" borderId="0" xfId="0">
      <alignment vertical="center"/>
    </xf>
    <xf numFmtId="0" fontId="0" fillId="0" borderId="0" xfId="0" applyFill="1">
      <alignment vertical="center"/>
    </xf>
    <xf numFmtId="0" fontId="3" fillId="0" borderId="0" xfId="5" applyAlignment="1"/>
    <xf numFmtId="0" fontId="6" fillId="0" borderId="0" xfId="4">
      <alignment vertical="center"/>
    </xf>
    <xf numFmtId="0" fontId="3" fillId="0" borderId="0" xfId="5" applyAlignment="1">
      <alignment vertical="center"/>
    </xf>
    <xf numFmtId="0" fontId="5" fillId="0" borderId="0" xfId="3">
      <alignment vertical="center"/>
    </xf>
    <xf numFmtId="0" fontId="6" fillId="0" borderId="0" xfId="4" applyFill="1" applyAlignment="1">
      <alignment horizontal="left"/>
    </xf>
    <xf numFmtId="0" fontId="0" fillId="0" borderId="0" xfId="0" applyAlignment="1">
      <alignment horizontal="left" vertical="center" wrapText="1" indent="1"/>
    </xf>
    <xf numFmtId="0" fontId="0" fillId="0" borderId="0" xfId="0" applyFont="1" applyAlignment="1">
      <alignment vertical="center"/>
    </xf>
    <xf numFmtId="0" fontId="11" fillId="0" borderId="0" xfId="0" applyFont="1" applyAlignment="1">
      <alignment vertical="center"/>
    </xf>
    <xf numFmtId="0" fontId="4" fillId="0" borderId="0" xfId="0" applyFont="1" applyAlignment="1">
      <alignment vertical="center"/>
    </xf>
    <xf numFmtId="0" fontId="12" fillId="0" borderId="0" xfId="0" applyFont="1">
      <alignment vertical="center"/>
    </xf>
    <xf numFmtId="0" fontId="7" fillId="0" borderId="0" xfId="0" applyFont="1" applyAlignment="1">
      <alignment horizontal="left" vertical="center" wrapText="1" indent="1"/>
    </xf>
    <xf numFmtId="0" fontId="0" fillId="0" borderId="0" xfId="0" applyAlignment="1">
      <alignment vertical="center"/>
    </xf>
    <xf numFmtId="0" fontId="6" fillId="0" borderId="0" xfId="4" applyFont="1" applyFill="1" applyAlignment="1">
      <alignment horizontal="left"/>
    </xf>
    <xf numFmtId="0" fontId="3" fillId="0" borderId="0" xfId="5" applyFont="1" applyAlignment="1"/>
    <xf numFmtId="0" fontId="11" fillId="0" borderId="0" xfId="0" applyFont="1" applyBorder="1">
      <alignment vertical="center"/>
    </xf>
    <xf numFmtId="0" fontId="0" fillId="0" borderId="0" xfId="0" applyFill="1">
      <alignment vertical="center"/>
    </xf>
    <xf numFmtId="0" fontId="8" fillId="0" borderId="0" xfId="0" applyFont="1" applyAlignment="1"/>
    <xf numFmtId="0" fontId="8" fillId="0" borderId="0" xfId="0" applyFont="1" applyAlignment="1">
      <alignment horizontal="right"/>
    </xf>
    <xf numFmtId="0" fontId="0" fillId="0" borderId="0" xfId="0" applyBorder="1">
      <alignment vertical="center"/>
    </xf>
    <xf numFmtId="0" fontId="8" fillId="0" borderId="0" xfId="0" applyFont="1" applyAlignment="1">
      <alignment horizontal="left"/>
    </xf>
    <xf numFmtId="0" fontId="0" fillId="0" borderId="0" xfId="0">
      <alignment vertical="center"/>
    </xf>
    <xf numFmtId="0" fontId="5" fillId="0" borderId="0" xfId="0" applyFont="1" applyFill="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11" fillId="0" borderId="0" xfId="0" applyFont="1" applyBorder="1" applyAlignment="1">
      <alignment vertical="center"/>
    </xf>
    <xf numFmtId="0" fontId="0" fillId="0" borderId="0" xfId="0" applyAlignment="1"/>
    <xf numFmtId="0" fontId="0" fillId="0" borderId="0" xfId="0" applyFont="1" applyAlignment="1"/>
    <xf numFmtId="0" fontId="17" fillId="0" borderId="0" xfId="0" applyFont="1" applyAlignment="1"/>
    <xf numFmtId="0" fontId="18" fillId="0" borderId="0" xfId="0" applyFont="1" applyAlignment="1"/>
    <xf numFmtId="0" fontId="0" fillId="0" borderId="0" xfId="0" applyAlignment="1">
      <alignment horizontal="center"/>
    </xf>
    <xf numFmtId="167" fontId="19" fillId="0" borderId="0" xfId="23" applyNumberFormat="1" applyFont="1" applyAlignment="1">
      <alignment horizontal="center"/>
    </xf>
    <xf numFmtId="44" fontId="0" fillId="0" borderId="0" xfId="0" applyNumberFormat="1" applyAlignment="1"/>
    <xf numFmtId="0" fontId="0" fillId="0" borderId="0" xfId="0" applyAlignment="1">
      <alignment horizontal="right"/>
    </xf>
    <xf numFmtId="0" fontId="18" fillId="0" borderId="4" xfId="0" applyFont="1" applyBorder="1" applyAlignment="1"/>
    <xf numFmtId="0" fontId="14" fillId="0" borderId="0" xfId="18" applyAlignment="1"/>
    <xf numFmtId="0" fontId="14" fillId="0" borderId="0" xfId="18" applyAlignment="1">
      <alignment vertical="center"/>
    </xf>
    <xf numFmtId="0" fontId="18" fillId="0" borderId="0" xfId="0" applyFont="1" applyAlignment="1">
      <alignment horizontal="right"/>
    </xf>
    <xf numFmtId="0" fontId="0" fillId="0" borderId="5" xfId="0" applyBorder="1" applyAlignment="1">
      <alignment horizontal="center"/>
    </xf>
    <xf numFmtId="0" fontId="4" fillId="0" borderId="1" xfId="17" applyAlignment="1">
      <alignment horizontal="center"/>
      <protection locked="0"/>
    </xf>
    <xf numFmtId="0" fontId="14" fillId="0" borderId="0" xfId="18" applyAlignment="1">
      <alignment horizontal="right"/>
    </xf>
    <xf numFmtId="0" fontId="14" fillId="0" borderId="0" xfId="18" applyAlignment="1" applyProtection="1"/>
    <xf numFmtId="0" fontId="0" fillId="0" borderId="0" xfId="0" applyBorder="1" applyAlignment="1"/>
    <xf numFmtId="0" fontId="0" fillId="0" borderId="8" xfId="0" applyBorder="1" applyAlignment="1"/>
    <xf numFmtId="0" fontId="0" fillId="0" borderId="6" xfId="0" applyBorder="1" applyAlignment="1"/>
    <xf numFmtId="0" fontId="0" fillId="0" borderId="0" xfId="0" applyBorder="1" applyAlignment="1">
      <alignment horizontal="center"/>
    </xf>
    <xf numFmtId="0" fontId="0" fillId="0" borderId="9" xfId="0" applyBorder="1" applyAlignment="1"/>
    <xf numFmtId="0" fontId="0" fillId="0" borderId="0" xfId="0" applyBorder="1" applyAlignment="1">
      <alignment horizontal="right"/>
    </xf>
    <xf numFmtId="0" fontId="5" fillId="0" borderId="0" xfId="3" applyFill="1">
      <alignment vertical="center"/>
    </xf>
    <xf numFmtId="5" fontId="0" fillId="0" borderId="0" xfId="0" applyNumberFormat="1" applyAlignment="1"/>
    <xf numFmtId="0" fontId="18" fillId="0" borderId="0" xfId="0" applyFont="1" applyBorder="1" applyAlignment="1">
      <alignment vertical="center"/>
    </xf>
    <xf numFmtId="0" fontId="14" fillId="0" borderId="0" xfId="18" applyBorder="1" applyAlignment="1"/>
    <xf numFmtId="0" fontId="14" fillId="0" borderId="0" xfId="18" applyFont="1" applyBorder="1" applyAlignment="1" applyProtection="1">
      <protection locked="0"/>
    </xf>
    <xf numFmtId="0" fontId="4" fillId="0" borderId="0" xfId="15" applyProtection="1">
      <alignment vertical="center"/>
      <protection locked="0"/>
    </xf>
    <xf numFmtId="44" fontId="4" fillId="0" borderId="0" xfId="23" applyAlignment="1">
      <alignment vertical="center"/>
    </xf>
    <xf numFmtId="0" fontId="4" fillId="0" borderId="0" xfId="15" applyAlignment="1">
      <alignment horizontal="center" vertical="center"/>
    </xf>
    <xf numFmtId="0" fontId="4" fillId="0" borderId="0" xfId="15" applyBorder="1" applyAlignment="1">
      <alignment horizontal="center" vertical="center"/>
    </xf>
    <xf numFmtId="0" fontId="0" fillId="0" borderId="18" xfId="0" applyBorder="1" applyAlignment="1"/>
    <xf numFmtId="0" fontId="0" fillId="0" borderId="19" xfId="0" applyBorder="1" applyAlignment="1">
      <alignment horizontal="center"/>
    </xf>
    <xf numFmtId="0" fontId="0" fillId="0" borderId="18" xfId="0" applyBorder="1" applyAlignment="1">
      <alignment horizontal="right"/>
    </xf>
    <xf numFmtId="0" fontId="4" fillId="0" borderId="19" xfId="15" applyBorder="1" applyAlignment="1">
      <alignment horizontal="center" vertical="center"/>
    </xf>
    <xf numFmtId="0" fontId="0" fillId="0" borderId="19" xfId="0" applyBorder="1" applyAlignment="1"/>
    <xf numFmtId="0" fontId="0" fillId="0" borderId="20" xfId="0" applyBorder="1" applyAlignment="1">
      <alignment horizontal="center"/>
    </xf>
    <xf numFmtId="0" fontId="0" fillId="0" borderId="15" xfId="0" applyBorder="1" applyAlignment="1"/>
    <xf numFmtId="0" fontId="0" fillId="0" borderId="17" xfId="0" applyBorder="1" applyAlignment="1"/>
    <xf numFmtId="0" fontId="0" fillId="0" borderId="24" xfId="0" applyBorder="1" applyAlignment="1"/>
    <xf numFmtId="0" fontId="0" fillId="0" borderId="25" xfId="0" applyBorder="1" applyAlignment="1"/>
    <xf numFmtId="0" fontId="0" fillId="0" borderId="25" xfId="0" applyBorder="1" applyAlignment="1">
      <alignment horizontal="right"/>
    </xf>
    <xf numFmtId="0" fontId="4" fillId="0" borderId="28" xfId="15" applyBorder="1" applyAlignment="1">
      <alignment horizontal="center" vertical="center"/>
    </xf>
    <xf numFmtId="0" fontId="4" fillId="0" borderId="0" xfId="15" applyBorder="1">
      <alignment vertical="center"/>
    </xf>
    <xf numFmtId="0" fontId="0" fillId="0" borderId="26" xfId="0" applyBorder="1" applyAlignment="1"/>
    <xf numFmtId="0" fontId="18" fillId="0" borderId="18" xfId="0" applyFont="1" applyBorder="1" applyAlignment="1"/>
    <xf numFmtId="0" fontId="0" fillId="0" borderId="25" xfId="0" applyBorder="1">
      <alignment vertical="center"/>
    </xf>
    <xf numFmtId="0" fontId="0" fillId="0" borderId="13" xfId="0" applyBorder="1" applyAlignment="1"/>
    <xf numFmtId="0" fontId="18" fillId="0" borderId="13" xfId="0" applyFont="1" applyBorder="1" applyAlignment="1">
      <alignment horizontal="center"/>
    </xf>
    <xf numFmtId="0" fontId="18" fillId="0" borderId="13" xfId="0" applyFont="1" applyFill="1" applyBorder="1" applyAlignment="1">
      <alignment horizontal="center"/>
    </xf>
    <xf numFmtId="0" fontId="22" fillId="0" borderId="0" xfId="0" applyFont="1" applyAlignment="1">
      <alignment horizontal="right"/>
    </xf>
    <xf numFmtId="0" fontId="18" fillId="0" borderId="15" xfId="0" applyFont="1" applyBorder="1" applyAlignment="1"/>
    <xf numFmtId="0" fontId="18" fillId="0" borderId="16" xfId="0" applyFont="1" applyBorder="1" applyAlignment="1"/>
    <xf numFmtId="0" fontId="18" fillId="0" borderId="25" xfId="0" applyFont="1" applyBorder="1" applyAlignment="1">
      <alignment horizontal="right"/>
    </xf>
    <xf numFmtId="0" fontId="18" fillId="0" borderId="16" xfId="0" applyFont="1" applyBorder="1" applyAlignment="1">
      <alignment horizontal="right"/>
    </xf>
    <xf numFmtId="0" fontId="18" fillId="0" borderId="18" xfId="0" applyFont="1" applyBorder="1" applyAlignment="1">
      <alignment vertical="center"/>
    </xf>
    <xf numFmtId="0" fontId="18" fillId="0" borderId="24" xfId="0" applyFont="1" applyBorder="1" applyAlignment="1">
      <alignment vertical="center"/>
    </xf>
    <xf numFmtId="5" fontId="0" fillId="0" borderId="0" xfId="0" applyNumberForma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xf numFmtId="167" fontId="0" fillId="0" borderId="0" xfId="0" applyNumberFormat="1">
      <alignment vertical="center"/>
    </xf>
    <xf numFmtId="0" fontId="0" fillId="0" borderId="31" xfId="0" applyBorder="1" applyAlignment="1"/>
    <xf numFmtId="0" fontId="18" fillId="0" borderId="0" xfId="0" applyFont="1" applyBorder="1" applyAlignment="1">
      <alignment horizontal="right"/>
    </xf>
    <xf numFmtId="0" fontId="0" fillId="0" borderId="0" xfId="0" applyAlignment="1">
      <alignment horizontal="left"/>
    </xf>
    <xf numFmtId="0" fontId="0" fillId="0" borderId="0" xfId="0" applyAlignment="1">
      <alignment horizontal="center" vertical="center"/>
    </xf>
    <xf numFmtId="0" fontId="4" fillId="0" borderId="1" xfId="17" applyAlignment="1">
      <alignment horizontal="center" vertical="center"/>
      <protection locked="0"/>
    </xf>
    <xf numFmtId="0" fontId="4" fillId="0" borderId="0" xfId="15">
      <alignment vertical="center"/>
    </xf>
    <xf numFmtId="0" fontId="4" fillId="0" borderId="0" xfId="15" applyAlignment="1" applyProtection="1">
      <alignment horizontal="center" vertical="center"/>
      <protection locked="0"/>
    </xf>
    <xf numFmtId="0" fontId="7" fillId="0" borderId="0" xfId="0" applyFont="1" applyAlignment="1">
      <alignment horizontal="center" vertical="center"/>
    </xf>
    <xf numFmtId="0" fontId="14" fillId="0" borderId="0" xfId="18" applyFill="1" applyBorder="1" applyAlignment="1">
      <alignment vertical="center"/>
    </xf>
    <xf numFmtId="0" fontId="14" fillId="0" borderId="0" xfId="18" applyAlignment="1">
      <alignment horizontal="left" vertical="center"/>
    </xf>
    <xf numFmtId="9" fontId="4" fillId="0" borderId="1" xfId="17" applyNumberFormat="1" applyAlignment="1">
      <alignment horizontal="center" vertical="center"/>
      <protection locked="0"/>
    </xf>
    <xf numFmtId="9" fontId="4" fillId="0" borderId="0" xfId="24" applyAlignment="1" applyProtection="1">
      <alignment horizontal="center" vertical="center"/>
      <protection locked="0"/>
    </xf>
    <xf numFmtId="0" fontId="2" fillId="0" borderId="0" xfId="0" applyFont="1" applyAlignment="1">
      <alignment horizontal="right"/>
    </xf>
    <xf numFmtId="0" fontId="14" fillId="0" borderId="0" xfId="18" applyAlignment="1">
      <alignment horizontal="left"/>
    </xf>
    <xf numFmtId="0" fontId="4" fillId="0" borderId="8" xfId="15" applyBorder="1" applyAlignment="1" applyProtection="1">
      <alignment horizontal="center" vertical="center"/>
      <protection locked="0"/>
    </xf>
    <xf numFmtId="0" fontId="4" fillId="0" borderId="6" xfId="15" applyBorder="1" applyAlignment="1" applyProtection="1">
      <alignment horizontal="center" vertical="center"/>
      <protection locked="0"/>
    </xf>
    <xf numFmtId="172" fontId="4" fillId="0" borderId="25" xfId="15" applyNumberFormat="1" applyBorder="1" applyAlignment="1">
      <alignment horizontal="center" vertical="center"/>
    </xf>
    <xf numFmtId="0" fontId="0" fillId="0" borderId="0" xfId="0" applyAlignment="1">
      <alignment horizontal="right" vertical="center"/>
    </xf>
    <xf numFmtId="0" fontId="4" fillId="0" borderId="0" xfId="15" applyAlignment="1">
      <alignment vertical="center"/>
    </xf>
    <xf numFmtId="169" fontId="0" fillId="0" borderId="0" xfId="0" applyNumberFormat="1">
      <alignment vertical="center"/>
    </xf>
    <xf numFmtId="0" fontId="0" fillId="0" borderId="0" xfId="0" applyFill="1" applyBorder="1" applyAlignment="1">
      <alignment horizontal="right" vertical="center"/>
    </xf>
    <xf numFmtId="2" fontId="0" fillId="0" borderId="0" xfId="0" applyNumberFormat="1">
      <alignment vertical="center"/>
    </xf>
    <xf numFmtId="0" fontId="14" fillId="0" borderId="0" xfId="18" applyAlignment="1" applyProtection="1">
      <alignment vertical="top"/>
    </xf>
    <xf numFmtId="0" fontId="0" fillId="0" borderId="0" xfId="0" applyBorder="1" applyAlignment="1">
      <alignment vertical="center"/>
    </xf>
    <xf numFmtId="0" fontId="4" fillId="0" borderId="0" xfId="15" applyBorder="1" applyAlignment="1">
      <alignment vertical="center"/>
    </xf>
    <xf numFmtId="2" fontId="0" fillId="0" borderId="0" xfId="0" applyNumberFormat="1" applyAlignment="1">
      <alignment horizontal="center"/>
    </xf>
    <xf numFmtId="0" fontId="0" fillId="0" borderId="0" xfId="0" applyAlignment="1">
      <alignment horizontal="right" vertical="center"/>
    </xf>
    <xf numFmtId="0" fontId="0" fillId="0" borderId="0" xfId="0" applyAlignment="1">
      <alignment horizontal="right" vertical="center"/>
    </xf>
    <xf numFmtId="0" fontId="18" fillId="0" borderId="0" xfId="0" applyFont="1" applyBorder="1" applyAlignment="1">
      <alignment horizontal="right"/>
    </xf>
    <xf numFmtId="173" fontId="4" fillId="0" borderId="1" xfId="17" applyNumberFormat="1" applyAlignment="1">
      <alignment horizontal="center"/>
      <protection locked="0"/>
    </xf>
    <xf numFmtId="173" fontId="4" fillId="0" borderId="1" xfId="17" applyNumberFormat="1" applyAlignment="1">
      <alignment horizontal="center" vertical="center"/>
      <protection locked="0"/>
    </xf>
    <xf numFmtId="7" fontId="4" fillId="0" borderId="1" xfId="17" applyNumberFormat="1" applyAlignment="1">
      <alignment horizontal="center"/>
      <protection locked="0"/>
    </xf>
    <xf numFmtId="174" fontId="4" fillId="0" borderId="1" xfId="17" applyNumberFormat="1" applyAlignment="1">
      <alignment horizontal="center"/>
      <protection locked="0"/>
    </xf>
    <xf numFmtId="173" fontId="0" fillId="0" borderId="0" xfId="23" applyNumberFormat="1" applyFont="1" applyAlignment="1">
      <alignment vertical="center"/>
    </xf>
    <xf numFmtId="173" fontId="0" fillId="0" borderId="0" xfId="0" applyNumberFormat="1">
      <alignment vertical="center"/>
    </xf>
    <xf numFmtId="173" fontId="0" fillId="0" borderId="14" xfId="0" applyNumberFormat="1" applyBorder="1" applyAlignment="1">
      <alignment horizontal="center" vertical="center"/>
    </xf>
    <xf numFmtId="173" fontId="0" fillId="0" borderId="0" xfId="0" applyNumberFormat="1" applyAlignment="1">
      <alignment horizontal="center" vertical="center"/>
    </xf>
    <xf numFmtId="175" fontId="4" fillId="0" borderId="0" xfId="23" applyNumberFormat="1" applyAlignment="1" applyProtection="1">
      <alignment horizontal="center" vertical="center"/>
      <protection locked="0"/>
    </xf>
    <xf numFmtId="7" fontId="0" fillId="0" borderId="0" xfId="23" applyNumberFormat="1" applyFont="1" applyAlignment="1">
      <alignment horizontal="center" vertical="center"/>
    </xf>
    <xf numFmtId="7" fontId="4" fillId="0" borderId="0" xfId="23" applyNumberFormat="1" applyAlignment="1">
      <alignment horizontal="center" vertical="center"/>
    </xf>
    <xf numFmtId="7" fontId="4" fillId="0" borderId="0" xfId="23" applyNumberFormat="1" applyAlignment="1" applyProtection="1">
      <alignment horizontal="center" vertical="center"/>
      <protection locked="0"/>
    </xf>
    <xf numFmtId="176" fontId="4" fillId="0" borderId="0" xfId="23" applyNumberFormat="1" applyAlignment="1" applyProtection="1">
      <alignment horizontal="center" vertical="center"/>
      <protection locked="0"/>
    </xf>
    <xf numFmtId="173" fontId="0" fillId="4" borderId="0" xfId="19" applyNumberFormat="1" applyFont="1" applyBorder="1" applyAlignment="1">
      <alignment horizontal="center" vertical="center"/>
    </xf>
    <xf numFmtId="173" fontId="0" fillId="4" borderId="19" xfId="19" applyNumberFormat="1" applyFont="1" applyBorder="1" applyAlignment="1">
      <alignment horizontal="center" vertical="center"/>
    </xf>
    <xf numFmtId="173" fontId="0" fillId="4" borderId="21" xfId="19" applyNumberFormat="1" applyFont="1" applyBorder="1" applyAlignment="1">
      <alignment horizontal="center" vertical="center"/>
    </xf>
    <xf numFmtId="173" fontId="0" fillId="4" borderId="22" xfId="19" applyNumberFormat="1" applyFont="1" applyBorder="1" applyAlignment="1">
      <alignment horizontal="center" vertical="center"/>
    </xf>
    <xf numFmtId="173" fontId="4" fillId="0" borderId="0" xfId="23" applyNumberFormat="1" applyBorder="1" applyAlignment="1">
      <alignment horizontal="center" vertical="center"/>
    </xf>
    <xf numFmtId="5" fontId="0" fillId="4" borderId="4" xfId="19" applyNumberFormat="1" applyFont="1" applyBorder="1" applyAlignment="1">
      <alignment horizontal="center" vertical="center"/>
    </xf>
    <xf numFmtId="173" fontId="0" fillId="0" borderId="0" xfId="23" applyNumberFormat="1" applyFont="1" applyAlignment="1">
      <alignment horizontal="center" vertical="center"/>
    </xf>
    <xf numFmtId="173" fontId="0" fillId="4" borderId="0" xfId="19" applyNumberFormat="1" applyFont="1" applyAlignment="1">
      <alignment horizontal="center" vertical="center"/>
    </xf>
    <xf numFmtId="0" fontId="18" fillId="0" borderId="0" xfId="0" applyFont="1" applyAlignment="1">
      <alignment horizontal="left"/>
    </xf>
    <xf numFmtId="0" fontId="14" fillId="0" borderId="41" xfId="18" applyBorder="1" applyAlignment="1" applyProtection="1">
      <alignment vertical="center"/>
    </xf>
    <xf numFmtId="171" fontId="0" fillId="0" borderId="0" xfId="24" applyNumberFormat="1" applyFont="1" applyAlignment="1">
      <alignment horizontal="center" vertical="center"/>
    </xf>
    <xf numFmtId="9" fontId="0" fillId="0" borderId="0" xfId="24" applyFont="1" applyAlignment="1">
      <alignment horizontal="right" vertical="center"/>
    </xf>
    <xf numFmtId="9" fontId="0" fillId="0" borderId="0" xfId="24" applyFont="1" applyAlignment="1">
      <alignment vertical="center"/>
    </xf>
    <xf numFmtId="5" fontId="0" fillId="0" borderId="14" xfId="0" applyNumberFormat="1" applyBorder="1" applyAlignment="1">
      <alignment horizontal="center"/>
    </xf>
    <xf numFmtId="0" fontId="18" fillId="0" borderId="14" xfId="0" applyFont="1" applyBorder="1" applyAlignment="1">
      <alignment horizontal="center"/>
    </xf>
    <xf numFmtId="0" fontId="18" fillId="0" borderId="14" xfId="0" applyFont="1" applyBorder="1" applyAlignment="1">
      <alignment horizontal="right"/>
    </xf>
    <xf numFmtId="0" fontId="18" fillId="0" borderId="27" xfId="0" applyFont="1" applyBorder="1" applyAlignment="1">
      <alignment horizontal="right"/>
    </xf>
    <xf numFmtId="5" fontId="0" fillId="0" borderId="34" xfId="0" applyNumberFormat="1" applyBorder="1" applyAlignment="1">
      <alignment horizontal="center"/>
    </xf>
    <xf numFmtId="0" fontId="18" fillId="0" borderId="34" xfId="0" applyFont="1" applyBorder="1" applyAlignment="1">
      <alignment horizontal="center"/>
    </xf>
    <xf numFmtId="0" fontId="14" fillId="0" borderId="25" xfId="18" applyBorder="1" applyAlignment="1"/>
    <xf numFmtId="5" fontId="0" fillId="0" borderId="25" xfId="0" applyNumberFormat="1" applyBorder="1" applyAlignment="1"/>
    <xf numFmtId="0" fontId="0" fillId="0" borderId="15" xfId="0" applyBorder="1">
      <alignment vertical="center"/>
    </xf>
    <xf numFmtId="0" fontId="18" fillId="0" borderId="31" xfId="0" applyFont="1" applyBorder="1" applyAlignment="1">
      <alignment horizontal="right"/>
    </xf>
    <xf numFmtId="0" fontId="0" fillId="0" borderId="14" xfId="0" applyBorder="1" applyAlignment="1">
      <alignment horizontal="right"/>
    </xf>
    <xf numFmtId="0" fontId="0" fillId="0" borderId="14" xfId="0" applyBorder="1" applyAlignment="1">
      <alignment horizontal="center"/>
    </xf>
    <xf numFmtId="171" fontId="0" fillId="0" borderId="14" xfId="24" applyNumberFormat="1" applyFont="1" applyBorder="1" applyAlignment="1">
      <alignment horizontal="center"/>
    </xf>
    <xf numFmtId="1" fontId="4" fillId="0" borderId="28" xfId="15" applyNumberFormat="1" applyBorder="1" applyAlignment="1">
      <alignment horizontal="center" vertical="center"/>
    </xf>
    <xf numFmtId="0" fontId="0" fillId="0" borderId="24" xfId="0" applyBorder="1">
      <alignment vertical="center"/>
    </xf>
    <xf numFmtId="0" fontId="0" fillId="0" borderId="27" xfId="0" applyBorder="1">
      <alignment vertical="center"/>
    </xf>
    <xf numFmtId="175" fontId="0" fillId="4" borderId="14" xfId="19" applyNumberFormat="1" applyFont="1" applyBorder="1" applyAlignment="1">
      <alignment horizontal="center"/>
    </xf>
    <xf numFmtId="0" fontId="18" fillId="0" borderId="14" xfId="0" applyFont="1" applyBorder="1" applyAlignment="1">
      <alignment horizontal="right"/>
    </xf>
    <xf numFmtId="0" fontId="14" fillId="0" borderId="0" xfId="18" applyAlignment="1" applyProtection="1">
      <alignment vertical="center"/>
      <protection locked="0"/>
    </xf>
    <xf numFmtId="0" fontId="7" fillId="0" borderId="14" xfId="0" applyFont="1" applyBorder="1" applyAlignment="1"/>
    <xf numFmtId="0" fontId="7" fillId="0" borderId="14" xfId="0" applyFont="1" applyBorder="1" applyAlignment="1">
      <alignment horizontal="right"/>
    </xf>
    <xf numFmtId="173" fontId="0" fillId="0" borderId="0" xfId="0" applyNumberForma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right" vertical="center"/>
    </xf>
    <xf numFmtId="0" fontId="0" fillId="0" borderId="14" xfId="0" applyBorder="1">
      <alignment vertical="center"/>
    </xf>
    <xf numFmtId="1" fontId="4" fillId="0" borderId="14" xfId="15" applyNumberFormat="1" applyBorder="1" applyAlignment="1" applyProtection="1">
      <alignment horizontal="center" vertical="center"/>
      <protection locked="0"/>
    </xf>
    <xf numFmtId="0" fontId="0" fillId="0" borderId="19" xfId="0" applyBorder="1" applyAlignment="1">
      <alignment wrapText="1"/>
    </xf>
    <xf numFmtId="0" fontId="7" fillId="0" borderId="14" xfId="0" applyFont="1" applyBorder="1" applyAlignment="1">
      <alignment horizontal="center"/>
    </xf>
    <xf numFmtId="0" fontId="20" fillId="0" borderId="14" xfId="0" applyFont="1" applyBorder="1" applyAlignment="1">
      <alignment horizontal="center"/>
    </xf>
    <xf numFmtId="5" fontId="0" fillId="0" borderId="14" xfId="0" applyNumberFormat="1" applyBorder="1" applyAlignment="1">
      <alignment horizontal="center" vertical="center"/>
    </xf>
    <xf numFmtId="173" fontId="7" fillId="0" borderId="14" xfId="0" applyNumberFormat="1" applyFont="1" applyBorder="1">
      <alignment vertical="center"/>
    </xf>
    <xf numFmtId="0" fontId="16" fillId="0" borderId="15" xfId="0" applyFont="1" applyBorder="1" applyAlignment="1"/>
    <xf numFmtId="0" fontId="17" fillId="0" borderId="16" xfId="0" applyFont="1" applyBorder="1" applyAlignment="1"/>
    <xf numFmtId="0" fontId="7" fillId="0" borderId="16" xfId="0" applyFont="1" applyBorder="1" applyAlignment="1"/>
    <xf numFmtId="0" fontId="0" fillId="0" borderId="18" xfId="0" applyFont="1" applyBorder="1" applyAlignment="1"/>
    <xf numFmtId="0" fontId="7" fillId="0" borderId="0" xfId="0" applyFont="1" applyBorder="1" applyAlignment="1"/>
    <xf numFmtId="0" fontId="7" fillId="0" borderId="0" xfId="0" applyFont="1" applyBorder="1" applyAlignment="1">
      <alignment horizontal="center"/>
    </xf>
    <xf numFmtId="0" fontId="4" fillId="0" borderId="0" xfId="15" applyBorder="1" applyAlignment="1" applyProtection="1">
      <alignment horizontal="center" vertical="center"/>
      <protection locked="0"/>
    </xf>
    <xf numFmtId="173" fontId="4" fillId="0" borderId="19" xfId="23" applyNumberFormat="1" applyBorder="1" applyAlignment="1">
      <alignment horizontal="center" vertical="center"/>
    </xf>
    <xf numFmtId="167" fontId="19" fillId="0" borderId="0" xfId="0" applyNumberFormat="1" applyFont="1" applyBorder="1" applyAlignment="1"/>
    <xf numFmtId="0" fontId="19" fillId="0" borderId="0" xfId="0" applyFont="1" applyBorder="1" applyAlignment="1">
      <alignment horizontal="center"/>
    </xf>
    <xf numFmtId="173" fontId="4" fillId="0" borderId="29" xfId="23" applyNumberFormat="1" applyBorder="1" applyAlignment="1">
      <alignment horizontal="center" vertical="center"/>
    </xf>
    <xf numFmtId="167" fontId="0" fillId="0" borderId="0" xfId="23" applyNumberFormat="1" applyFont="1" applyBorder="1" applyAlignment="1">
      <alignment horizontal="center"/>
    </xf>
    <xf numFmtId="0" fontId="0" fillId="0" borderId="0" xfId="0" applyBorder="1" applyAlignment="1">
      <alignment wrapText="1"/>
    </xf>
    <xf numFmtId="167" fontId="19" fillId="0" borderId="0" xfId="23" applyNumberFormat="1" applyFont="1" applyBorder="1" applyAlignment="1">
      <alignment horizontal="center"/>
    </xf>
    <xf numFmtId="167" fontId="0" fillId="0" borderId="19" xfId="0" applyNumberFormat="1" applyBorder="1" applyAlignment="1"/>
    <xf numFmtId="175" fontId="4" fillId="0" borderId="25" xfId="23" applyNumberFormat="1" applyBorder="1" applyAlignment="1" applyProtection="1">
      <alignment horizontal="center" vertical="center"/>
      <protection locked="0"/>
    </xf>
    <xf numFmtId="0" fontId="5" fillId="0" borderId="0" xfId="3" applyAlignment="1">
      <alignment vertical="center"/>
    </xf>
    <xf numFmtId="0" fontId="14" fillId="0" borderId="16" xfId="18" applyBorder="1" applyAlignment="1">
      <alignment vertical="center"/>
    </xf>
    <xf numFmtId="0" fontId="7" fillId="0" borderId="0" xfId="0" applyFont="1" applyFill="1"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7" fillId="0" borderId="0" xfId="0" applyFont="1" applyBorder="1" applyAlignment="1">
      <alignment horizontal="center" vertical="center"/>
    </xf>
    <xf numFmtId="173" fontId="0" fillId="0" borderId="0" xfId="0" applyNumberFormat="1" applyBorder="1">
      <alignment vertical="center"/>
    </xf>
    <xf numFmtId="0" fontId="7" fillId="0" borderId="0" xfId="0" applyFont="1" applyBorder="1" applyAlignment="1">
      <alignment horizontal="right" vertical="center"/>
    </xf>
    <xf numFmtId="10" fontId="0" fillId="0" borderId="0" xfId="24" applyNumberFormat="1" applyFont="1" applyBorder="1" applyAlignment="1">
      <alignment horizontal="center" vertical="center"/>
    </xf>
    <xf numFmtId="167" fontId="0" fillId="0" borderId="25" xfId="0" applyNumberFormat="1" applyBorder="1">
      <alignment vertical="center"/>
    </xf>
    <xf numFmtId="173" fontId="0" fillId="0" borderId="25" xfId="0" applyNumberFormat="1" applyBorder="1">
      <alignment vertical="center"/>
    </xf>
    <xf numFmtId="0" fontId="0" fillId="0" borderId="26" xfId="0" applyBorder="1">
      <alignment vertical="center"/>
    </xf>
    <xf numFmtId="1" fontId="0" fillId="0" borderId="0" xfId="0" applyNumberFormat="1" applyBorder="1" applyAlignment="1">
      <alignment horizontal="center" vertical="center"/>
    </xf>
    <xf numFmtId="173" fontId="0" fillId="0" borderId="14" xfId="23" applyNumberFormat="1" applyFont="1" applyBorder="1" applyAlignment="1">
      <alignment vertical="center"/>
    </xf>
    <xf numFmtId="0" fontId="0" fillId="0" borderId="0" xfId="0" applyBorder="1" applyAlignment="1">
      <alignment horizontal="right" vertical="center"/>
    </xf>
    <xf numFmtId="1" fontId="0" fillId="4" borderId="14" xfId="19" applyNumberFormat="1" applyFont="1" applyBorder="1" applyAlignment="1">
      <alignment horizontal="center"/>
    </xf>
    <xf numFmtId="0" fontId="7" fillId="0" borderId="43" xfId="0" applyFont="1" applyBorder="1" applyAlignment="1">
      <alignment horizontal="center" vertical="center"/>
    </xf>
    <xf numFmtId="0" fontId="7" fillId="0" borderId="44"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wrapText="1"/>
    </xf>
    <xf numFmtId="0" fontId="7" fillId="0" borderId="44" xfId="0" applyFont="1" applyBorder="1" applyAlignment="1">
      <alignment horizontal="center" vertical="center"/>
    </xf>
    <xf numFmtId="0" fontId="7" fillId="0" borderId="55"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wrapText="1"/>
    </xf>
    <xf numFmtId="0" fontId="7" fillId="0" borderId="65" xfId="0" applyFont="1" applyBorder="1" applyAlignment="1">
      <alignment horizontal="center" vertical="center"/>
    </xf>
    <xf numFmtId="173" fontId="7" fillId="0" borderId="14" xfId="23" applyNumberFormat="1" applyFont="1" applyBorder="1" applyAlignment="1">
      <alignment vertical="center"/>
    </xf>
    <xf numFmtId="0" fontId="0" fillId="0" borderId="14" xfId="0" applyBorder="1" applyAlignment="1">
      <alignment horizontal="right" vertical="center"/>
    </xf>
    <xf numFmtId="173" fontId="0" fillId="0" borderId="14" xfId="23" applyNumberFormat="1" applyFont="1" applyBorder="1" applyAlignment="1">
      <alignment horizontal="right" vertical="center"/>
    </xf>
    <xf numFmtId="173" fontId="0" fillId="0" borderId="28" xfId="0" applyNumberFormat="1" applyBorder="1" applyAlignment="1">
      <alignment horizontal="center" vertical="center"/>
    </xf>
    <xf numFmtId="5" fontId="0" fillId="0" borderId="27" xfId="0" applyNumberFormat="1" applyBorder="1" applyAlignment="1">
      <alignment horizontal="center" vertical="center"/>
    </xf>
    <xf numFmtId="0" fontId="14" fillId="0" borderId="0" xfId="18" applyAlignment="1" applyProtection="1">
      <alignment horizontal="left" vertical="top" wrapText="1"/>
    </xf>
    <xf numFmtId="0" fontId="0" fillId="0" borderId="0" xfId="0" applyAlignment="1">
      <alignment horizontal="right" vertical="center"/>
    </xf>
    <xf numFmtId="175" fontId="4" fillId="0" borderId="19" xfId="23" applyNumberFormat="1" applyBorder="1" applyAlignment="1">
      <alignment horizontal="center" vertical="center"/>
    </xf>
    <xf numFmtId="0" fontId="4" fillId="0" borderId="0" xfId="15" applyProtection="1">
      <alignment vertical="center"/>
    </xf>
    <xf numFmtId="171" fontId="0" fillId="0" borderId="0" xfId="24" applyNumberFormat="1" applyFont="1" applyAlignment="1">
      <alignment vertical="center"/>
    </xf>
    <xf numFmtId="173" fontId="4" fillId="0" borderId="0" xfId="23" applyNumberFormat="1" applyAlignment="1">
      <alignment horizontal="center" vertical="center"/>
    </xf>
    <xf numFmtId="175" fontId="0" fillId="0" borderId="0" xfId="0" applyNumberFormat="1" applyAlignment="1">
      <alignment horizontal="center" vertical="center"/>
    </xf>
    <xf numFmtId="176" fontId="0" fillId="0" borderId="0" xfId="0" applyNumberFormat="1" applyAlignment="1">
      <alignment horizontal="center" vertical="center"/>
    </xf>
    <xf numFmtId="175" fontId="4" fillId="0" borderId="1" xfId="17" applyNumberFormat="1" applyAlignment="1">
      <alignment horizontal="center" vertical="center"/>
      <protection locked="0"/>
    </xf>
    <xf numFmtId="170" fontId="4" fillId="0" borderId="1" xfId="17" applyNumberFormat="1" applyAlignment="1">
      <alignment horizontal="center" vertical="center"/>
      <protection locked="0"/>
    </xf>
    <xf numFmtId="0" fontId="4" fillId="0" borderId="1" xfId="17" applyFill="1" applyAlignment="1">
      <alignment horizontal="center" vertical="center"/>
      <protection locked="0"/>
    </xf>
    <xf numFmtId="171" fontId="4" fillId="0" borderId="1" xfId="17" applyNumberFormat="1" applyFill="1" applyAlignment="1">
      <alignment horizontal="center"/>
      <protection locked="0"/>
    </xf>
    <xf numFmtId="0" fontId="4" fillId="0" borderId="1" xfId="17" applyFill="1" applyAlignment="1">
      <alignment horizontal="center"/>
      <protection locked="0"/>
    </xf>
    <xf numFmtId="167" fontId="4" fillId="0" borderId="1" xfId="17" applyNumberFormat="1" applyFont="1" applyFill="1" applyAlignment="1">
      <protection locked="0"/>
    </xf>
    <xf numFmtId="0" fontId="7" fillId="0" borderId="32" xfId="0" applyFont="1" applyBorder="1" applyAlignment="1">
      <alignment horizontal="center"/>
    </xf>
    <xf numFmtId="0" fontId="7" fillId="0" borderId="11" xfId="0" applyFont="1" applyBorder="1" applyAlignment="1"/>
    <xf numFmtId="0" fontId="7" fillId="0" borderId="18" xfId="0" applyFont="1" applyBorder="1" applyAlignment="1">
      <alignment horizontal="center"/>
    </xf>
    <xf numFmtId="0" fontId="7" fillId="0" borderId="33" xfId="0" applyFont="1" applyBorder="1" applyAlignment="1">
      <alignment horizontal="center"/>
    </xf>
    <xf numFmtId="0" fontId="7" fillId="0" borderId="6" xfId="0" applyFont="1" applyFill="1" applyBorder="1" applyAlignment="1">
      <alignment horizontal="left"/>
    </xf>
    <xf numFmtId="0" fontId="7" fillId="0" borderId="6" xfId="0" applyFont="1" applyBorder="1" applyAlignment="1"/>
    <xf numFmtId="0" fontId="7" fillId="0" borderId="23" xfId="0" applyFont="1" applyBorder="1" applyAlignment="1">
      <alignment horizontal="center"/>
    </xf>
    <xf numFmtId="0" fontId="7" fillId="0" borderId="5" xfId="0" applyFont="1" applyBorder="1" applyAlignment="1"/>
    <xf numFmtId="0" fontId="4" fillId="0" borderId="4" xfId="17" applyFill="1" applyBorder="1" applyAlignment="1">
      <protection locked="0"/>
    </xf>
    <xf numFmtId="173" fontId="4" fillId="0" borderId="4" xfId="17" applyNumberFormat="1" applyBorder="1" applyAlignment="1">
      <alignment horizontal="center"/>
      <protection locked="0"/>
    </xf>
    <xf numFmtId="0" fontId="7" fillId="0" borderId="4" xfId="0" applyFont="1" applyBorder="1" applyAlignment="1">
      <alignment horizont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14" fillId="0" borderId="0" xfId="18" applyBorder="1" applyAlignment="1" applyProtection="1">
      <alignment horizontal="left" vertical="center" wrapText="1"/>
      <protection locked="0"/>
    </xf>
    <xf numFmtId="0" fontId="0" fillId="0" borderId="0" xfId="0" applyAlignment="1">
      <alignment horizontal="right" vertical="center"/>
    </xf>
    <xf numFmtId="0" fontId="0" fillId="0" borderId="0" xfId="0" applyAlignment="1">
      <alignment horizontal="right" vertical="center"/>
    </xf>
    <xf numFmtId="0" fontId="7" fillId="0" borderId="14" xfId="0" applyFont="1" applyBorder="1" applyAlignment="1">
      <alignment horizontal="right" vertical="center"/>
    </xf>
    <xf numFmtId="0" fontId="18" fillId="0" borderId="14" xfId="0" applyFont="1" applyBorder="1" applyAlignment="1">
      <alignment horizontal="right"/>
    </xf>
    <xf numFmtId="0" fontId="18" fillId="0" borderId="14" xfId="0" applyFont="1" applyBorder="1" applyAlignment="1">
      <alignment horizontal="center"/>
    </xf>
    <xf numFmtId="0" fontId="7" fillId="0" borderId="14" xfId="0" applyFont="1" applyBorder="1" applyAlignment="1">
      <alignment horizontal="center" vertical="center"/>
    </xf>
    <xf numFmtId="0" fontId="0" fillId="0" borderId="8" xfId="0" applyBorder="1" applyAlignment="1">
      <alignment horizontal="center"/>
    </xf>
    <xf numFmtId="0" fontId="7" fillId="0" borderId="0" xfId="0" applyFont="1" applyAlignment="1"/>
    <xf numFmtId="0" fontId="6" fillId="0" borderId="0" xfId="4" applyBorder="1" applyAlignment="1"/>
    <xf numFmtId="0" fontId="6" fillId="0" borderId="0" xfId="4" applyFill="1">
      <alignment vertical="center"/>
    </xf>
    <xf numFmtId="7" fontId="0" fillId="0" borderId="14" xfId="23" applyNumberFormat="1" applyFont="1" applyBorder="1" applyAlignment="1">
      <alignment horizontal="center"/>
    </xf>
    <xf numFmtId="175" fontId="0" fillId="0" borderId="0" xfId="23" applyNumberFormat="1" applyFont="1" applyBorder="1" applyAlignment="1">
      <alignment horizontal="center"/>
    </xf>
    <xf numFmtId="9" fontId="0" fillId="0" borderId="0" xfId="0" applyNumberFormat="1" applyAlignment="1">
      <alignment horizontal="center" vertical="center"/>
    </xf>
    <xf numFmtId="8" fontId="0" fillId="0" borderId="0" xfId="0" applyNumberFormat="1" applyAlignment="1">
      <alignment horizontal="center"/>
    </xf>
    <xf numFmtId="8" fontId="0" fillId="0" borderId="28" xfId="0" applyNumberFormat="1" applyBorder="1" applyAlignment="1">
      <alignment horizontal="center" vertical="center"/>
    </xf>
    <xf numFmtId="0" fontId="14" fillId="0" borderId="0" xfId="18" applyAlignment="1">
      <alignment vertical="top"/>
    </xf>
    <xf numFmtId="175" fontId="14" fillId="0" borderId="0" xfId="18" applyNumberFormat="1" applyAlignment="1">
      <alignment horizontal="left"/>
    </xf>
    <xf numFmtId="0" fontId="18" fillId="0" borderId="0" xfId="0" applyFont="1" applyFill="1" applyBorder="1" applyAlignment="1"/>
    <xf numFmtId="0" fontId="18" fillId="0" borderId="14" xfId="0" applyFont="1" applyFill="1" applyBorder="1" applyAlignment="1">
      <alignment horizontal="center"/>
    </xf>
    <xf numFmtId="175" fontId="0" fillId="0" borderId="14" xfId="0" applyNumberFormat="1" applyBorder="1" applyAlignment="1">
      <alignment horizontal="center"/>
    </xf>
    <xf numFmtId="3" fontId="0" fillId="0" borderId="14" xfId="0" applyNumberFormat="1" applyBorder="1" applyAlignment="1">
      <alignment horizontal="center"/>
    </xf>
    <xf numFmtId="173" fontId="0" fillId="0" borderId="0" xfId="23" applyNumberFormat="1" applyFont="1" applyBorder="1" applyAlignment="1">
      <alignment horizontal="center" vertical="center"/>
    </xf>
    <xf numFmtId="173" fontId="4" fillId="0" borderId="0" xfId="17" applyNumberFormat="1" applyFont="1" applyBorder="1" applyAlignment="1">
      <alignment horizontal="center"/>
      <protection locked="0"/>
    </xf>
    <xf numFmtId="175" fontId="4" fillId="0" borderId="1" xfId="17" applyNumberFormat="1" applyAlignment="1">
      <alignment horizontal="center"/>
      <protection locked="0"/>
    </xf>
    <xf numFmtId="3" fontId="0" fillId="0" borderId="0" xfId="0" applyNumberFormat="1" applyAlignment="1">
      <alignment horizontal="center" vertical="center"/>
    </xf>
    <xf numFmtId="3" fontId="0" fillId="0" borderId="14" xfId="0" applyNumberFormat="1" applyBorder="1" applyAlignment="1">
      <alignment horizontal="center" vertical="center"/>
    </xf>
    <xf numFmtId="3" fontId="0" fillId="0" borderId="27" xfId="0" applyNumberFormat="1" applyBorder="1" applyAlignment="1">
      <alignment horizontal="center" vertical="center"/>
    </xf>
    <xf numFmtId="3" fontId="0" fillId="0" borderId="30" xfId="0" applyNumberFormat="1" applyBorder="1" applyAlignment="1">
      <alignment horizontal="center" vertical="center"/>
    </xf>
    <xf numFmtId="5" fontId="0" fillId="0" borderId="34" xfId="0" applyNumberFormat="1" applyBorder="1" applyAlignment="1">
      <alignment horizontal="center" vertical="center"/>
    </xf>
    <xf numFmtId="2" fontId="0" fillId="0" borderId="14" xfId="0" applyNumberFormat="1" applyBorder="1" applyAlignment="1">
      <alignment horizontal="center" vertical="center"/>
    </xf>
    <xf numFmtId="1" fontId="0" fillId="0" borderId="14" xfId="0" applyNumberFormat="1" applyBorder="1" applyAlignment="1">
      <alignment horizontal="center" vertical="center"/>
    </xf>
    <xf numFmtId="0" fontId="7" fillId="0" borderId="14" xfId="0" applyFont="1" applyFill="1" applyBorder="1" applyAlignment="1">
      <alignment horizontal="right" vertical="center"/>
    </xf>
    <xf numFmtId="2" fontId="0" fillId="4" borderId="14" xfId="19" applyNumberFormat="1" applyFont="1" applyBorder="1" applyAlignment="1">
      <alignment horizontal="center" vertical="center"/>
    </xf>
    <xf numFmtId="173" fontId="0" fillId="4" borderId="14" xfId="19" applyNumberFormat="1" applyFont="1" applyBorder="1" applyAlignment="1">
      <alignment horizontal="center" vertical="center"/>
    </xf>
    <xf numFmtId="5" fontId="0" fillId="0" borderId="0" xfId="0" applyNumberFormat="1">
      <alignment vertical="center"/>
    </xf>
    <xf numFmtId="5" fontId="0" fillId="0" borderId="0" xfId="0" applyNumberFormat="1" applyAlignment="1">
      <alignment horizontal="center" vertical="center"/>
    </xf>
    <xf numFmtId="7" fontId="0" fillId="0" borderId="0" xfId="0" applyNumberFormat="1" applyAlignment="1"/>
    <xf numFmtId="5" fontId="0" fillId="4" borderId="0" xfId="19" applyNumberFormat="1" applyFont="1" applyBorder="1" applyAlignment="1">
      <alignment horizontal="center" vertical="center"/>
    </xf>
    <xf numFmtId="0" fontId="3" fillId="0" borderId="0" xfId="5" applyBorder="1" applyAlignment="1">
      <alignment vertical="center"/>
    </xf>
    <xf numFmtId="0" fontId="0" fillId="0" borderId="0" xfId="0" applyBorder="1" applyAlignment="1">
      <alignment horizontal="center" vertical="center"/>
    </xf>
    <xf numFmtId="1" fontId="0" fillId="0" borderId="0" xfId="0" applyNumberFormat="1">
      <alignment vertical="center"/>
    </xf>
    <xf numFmtId="175" fontId="0" fillId="0" borderId="0" xfId="0" applyNumberFormat="1">
      <alignment vertical="center"/>
    </xf>
    <xf numFmtId="173" fontId="0" fillId="0" borderId="0" xfId="0" applyNumberFormat="1" applyAlignment="1">
      <alignment vertical="center"/>
    </xf>
    <xf numFmtId="1" fontId="7" fillId="0" borderId="0" xfId="0" applyNumberFormat="1" applyFont="1">
      <alignment vertical="center"/>
    </xf>
    <xf numFmtId="173" fontId="9" fillId="0" borderId="0" xfId="0" applyNumberFormat="1" applyFont="1">
      <alignment vertical="center"/>
    </xf>
    <xf numFmtId="0" fontId="0" fillId="0" borderId="19" xfId="0" applyBorder="1" applyAlignment="1">
      <alignment vertical="center"/>
    </xf>
    <xf numFmtId="1" fontId="7" fillId="0" borderId="0" xfId="0" applyNumberFormat="1" applyFont="1" applyBorder="1" applyAlignment="1">
      <alignment horizontal="center" vertical="center"/>
    </xf>
    <xf numFmtId="0" fontId="7" fillId="0" borderId="18" xfId="0" applyFont="1" applyBorder="1" applyAlignment="1">
      <alignment horizontal="right" vertical="center"/>
    </xf>
    <xf numFmtId="2" fontId="0" fillId="0" borderId="0" xfId="0" applyNumberFormat="1" applyBorder="1" applyAlignment="1">
      <alignment horizontal="center" vertical="center"/>
    </xf>
    <xf numFmtId="0" fontId="7" fillId="0" borderId="24" xfId="0" applyFont="1" applyBorder="1" applyAlignment="1">
      <alignment horizontal="right" vertical="center"/>
    </xf>
    <xf numFmtId="4" fontId="0" fillId="0" borderId="0" xfId="0" applyNumberFormat="1" applyBorder="1" applyAlignment="1">
      <alignment horizontal="center" vertical="center"/>
    </xf>
    <xf numFmtId="1" fontId="0" fillId="0" borderId="0" xfId="0" applyNumberFormat="1" applyBorder="1" applyAlignment="1">
      <alignment vertical="center"/>
    </xf>
    <xf numFmtId="173" fontId="0" fillId="0" borderId="0" xfId="0" applyNumberFormat="1" applyBorder="1" applyAlignment="1">
      <alignment vertical="center"/>
    </xf>
    <xf numFmtId="0" fontId="14" fillId="0" borderId="0" xfId="18" applyBorder="1" applyAlignment="1">
      <alignment vertical="center"/>
    </xf>
    <xf numFmtId="0" fontId="0" fillId="0" borderId="19" xfId="0" applyBorder="1">
      <alignment vertical="center"/>
    </xf>
    <xf numFmtId="175" fontId="0" fillId="0" borderId="25" xfId="0" applyNumberFormat="1" applyBorder="1" applyAlignment="1">
      <alignment horizontal="center" vertical="center"/>
    </xf>
    <xf numFmtId="0" fontId="0" fillId="0" borderId="25" xfId="0" applyBorder="1" applyAlignment="1">
      <alignment vertical="center"/>
    </xf>
    <xf numFmtId="0" fontId="7" fillId="0" borderId="15" xfId="0" applyFont="1" applyBorder="1">
      <alignment vertical="center"/>
    </xf>
    <xf numFmtId="0" fontId="14" fillId="0" borderId="0" xfId="18" applyBorder="1" applyAlignment="1">
      <alignment vertical="top" wrapText="1"/>
    </xf>
    <xf numFmtId="2" fontId="4" fillId="0" borderId="0" xfId="15" applyNumberFormat="1" applyBorder="1" applyAlignment="1" applyProtection="1">
      <alignment horizontal="center" vertical="center"/>
      <protection locked="0"/>
    </xf>
    <xf numFmtId="0" fontId="7" fillId="0" borderId="14" xfId="0" applyFont="1" applyBorder="1" applyAlignment="1">
      <alignment horizontal="right" vertical="center"/>
    </xf>
    <xf numFmtId="0" fontId="7" fillId="0" borderId="34" xfId="0" applyFont="1" applyBorder="1" applyAlignment="1">
      <alignment horizontal="right"/>
    </xf>
    <xf numFmtId="0" fontId="7" fillId="0" borderId="14" xfId="0" applyFont="1" applyFill="1" applyBorder="1" applyAlignment="1">
      <alignment horizontal="right"/>
    </xf>
    <xf numFmtId="0" fontId="18" fillId="0" borderId="4" xfId="0" applyFont="1" applyBorder="1" applyAlignment="1">
      <alignment horizontal="center"/>
    </xf>
    <xf numFmtId="0" fontId="18" fillId="0" borderId="4" xfId="0" applyFont="1" applyBorder="1" applyAlignment="1">
      <alignment horizontal="center" wrapText="1"/>
    </xf>
    <xf numFmtId="0" fontId="7" fillId="0" borderId="10" xfId="0" applyFont="1" applyBorder="1" applyAlignment="1"/>
    <xf numFmtId="0" fontId="0" fillId="0" borderId="39" xfId="0" applyBorder="1" applyAlignment="1"/>
    <xf numFmtId="0" fontId="0" fillId="0" borderId="6" xfId="0" applyBorder="1">
      <alignment vertical="center"/>
    </xf>
    <xf numFmtId="0" fontId="0" fillId="0" borderId="6" xfId="0" applyBorder="1" applyAlignment="1">
      <alignment horizontal="right"/>
    </xf>
    <xf numFmtId="0" fontId="0" fillId="0" borderId="4" xfId="0" applyBorder="1" applyAlignment="1">
      <alignment horizontal="center" vertical="center" wrapText="1"/>
    </xf>
    <xf numFmtId="0" fontId="0" fillId="0" borderId="37" xfId="0" applyBorder="1" applyAlignment="1">
      <alignment horizontal="center" vertical="center" wrapText="1"/>
    </xf>
    <xf numFmtId="0" fontId="0" fillId="0" borderId="4" xfId="0" applyBorder="1">
      <alignment vertical="center"/>
    </xf>
    <xf numFmtId="173" fontId="1" fillId="0" borderId="4" xfId="0" applyNumberFormat="1" applyFont="1" applyBorder="1" applyAlignment="1">
      <alignment horizontal="right"/>
    </xf>
    <xf numFmtId="0" fontId="18" fillId="0" borderId="11" xfId="0" applyFont="1" applyBorder="1" applyAlignment="1"/>
    <xf numFmtId="0" fontId="0" fillId="0" borderId="11" xfId="0" applyBorder="1">
      <alignment vertical="center"/>
    </xf>
    <xf numFmtId="0" fontId="14" fillId="0" borderId="0" xfId="18" applyAlignment="1">
      <alignment vertical="top" wrapText="1"/>
    </xf>
    <xf numFmtId="0" fontId="0" fillId="0" borderId="0" xfId="0" applyFill="1" applyBorder="1" applyAlignment="1"/>
    <xf numFmtId="0" fontId="0" fillId="0" borderId="0" xfId="0" applyFill="1" applyBorder="1" applyAlignment="1">
      <alignment horizontal="center"/>
    </xf>
    <xf numFmtId="0" fontId="4" fillId="0" borderId="0" xfId="15" applyFill="1" applyBorder="1" applyAlignment="1">
      <alignment horizontal="center" vertical="center"/>
    </xf>
    <xf numFmtId="173" fontId="4" fillId="0" borderId="0" xfId="23" applyNumberFormat="1" applyFill="1" applyBorder="1" applyAlignment="1">
      <alignment horizontal="center" vertical="center"/>
    </xf>
    <xf numFmtId="0" fontId="14" fillId="0" borderId="0" xfId="18" applyFill="1" applyBorder="1" applyAlignment="1"/>
    <xf numFmtId="0" fontId="20" fillId="0" borderId="0" xfId="0" applyFont="1" applyFill="1" applyBorder="1" applyAlignment="1">
      <alignment horizontal="center"/>
    </xf>
    <xf numFmtId="0" fontId="20" fillId="0" borderId="0" xfId="0" applyFont="1" applyFill="1" applyBorder="1" applyAlignment="1"/>
    <xf numFmtId="167" fontId="0" fillId="0" borderId="0" xfId="0" applyNumberFormat="1" applyFill="1" applyBorder="1" applyAlignment="1"/>
    <xf numFmtId="0" fontId="0" fillId="0" borderId="0" xfId="0" applyFill="1" applyBorder="1" applyAlignment="1">
      <alignment horizontal="right"/>
    </xf>
    <xf numFmtId="0" fontId="4" fillId="0" borderId="0" xfId="15" applyFill="1" applyBorder="1" applyAlignment="1" applyProtection="1">
      <alignment horizontal="center" vertical="center"/>
      <protection locked="0"/>
    </xf>
    <xf numFmtId="9" fontId="4" fillId="0" borderId="0" xfId="24" applyFill="1" applyBorder="1" applyAlignment="1">
      <alignment horizontal="center" vertical="center"/>
    </xf>
    <xf numFmtId="173" fontId="0" fillId="0" borderId="0" xfId="0" applyNumberFormat="1" applyFill="1" applyBorder="1" applyAlignment="1">
      <alignment horizontal="center" vertical="center"/>
    </xf>
    <xf numFmtId="173" fontId="1" fillId="0" borderId="13" xfId="0" applyNumberFormat="1" applyFont="1" applyBorder="1" applyAlignment="1">
      <alignment horizontal="right"/>
    </xf>
    <xf numFmtId="0" fontId="0" fillId="0" borderId="4" xfId="0" applyFill="1" applyBorder="1">
      <alignment vertical="center"/>
    </xf>
    <xf numFmtId="0" fontId="18" fillId="0" borderId="4" xfId="0" applyFont="1" applyBorder="1" applyAlignment="1">
      <alignment horizontal="right"/>
    </xf>
    <xf numFmtId="0" fontId="4" fillId="0" borderId="4" xfId="15" applyBorder="1" applyAlignment="1">
      <alignment horizontal="center" vertical="center"/>
    </xf>
    <xf numFmtId="168" fontId="4" fillId="0" borderId="4" xfId="15" applyNumberFormat="1" applyBorder="1" applyAlignment="1">
      <alignment horizontal="center" vertical="center"/>
    </xf>
    <xf numFmtId="0" fontId="18" fillId="0" borderId="37" xfId="0" applyFont="1" applyBorder="1" applyAlignment="1">
      <alignment horizontal="center" wrapText="1"/>
    </xf>
    <xf numFmtId="0" fontId="0" fillId="0" borderId="12" xfId="0" applyBorder="1">
      <alignment vertical="center"/>
    </xf>
    <xf numFmtId="173" fontId="7" fillId="0" borderId="4" xfId="15" applyNumberFormat="1" applyFont="1" applyBorder="1" applyAlignment="1" applyProtection="1">
      <alignment horizontal="center" vertical="center"/>
      <protection locked="0"/>
    </xf>
    <xf numFmtId="173" fontId="7" fillId="0" borderId="4" xfId="0" applyNumberFormat="1" applyFont="1" applyBorder="1" applyAlignment="1"/>
    <xf numFmtId="173" fontId="0" fillId="0" borderId="4" xfId="0" applyNumberFormat="1" applyBorder="1" applyAlignment="1">
      <alignment horizontal="center" vertical="center"/>
    </xf>
    <xf numFmtId="1" fontId="0" fillId="0" borderId="4" xfId="0" applyNumberFormat="1" applyBorder="1" applyAlignment="1">
      <alignment horizontal="center" vertical="center"/>
    </xf>
    <xf numFmtId="175" fontId="7" fillId="0" borderId="4" xfId="0" applyNumberFormat="1" applyFont="1" applyBorder="1" applyAlignment="1">
      <alignment horizontal="center" vertical="center"/>
    </xf>
    <xf numFmtId="0" fontId="0" fillId="0" borderId="0" xfId="0" applyFill="1" applyBorder="1" applyAlignment="1">
      <alignment vertical="center" wrapText="1"/>
    </xf>
    <xf numFmtId="173" fontId="0" fillId="0" borderId="4" xfId="0" applyNumberFormat="1" applyBorder="1">
      <alignment vertical="center"/>
    </xf>
    <xf numFmtId="175" fontId="7" fillId="0" borderId="4" xfId="0" applyNumberFormat="1" applyFont="1" applyBorder="1">
      <alignment vertical="center"/>
    </xf>
    <xf numFmtId="1" fontId="0" fillId="0" borderId="0" xfId="0" applyNumberFormat="1" applyBorder="1" applyAlignment="1"/>
    <xf numFmtId="9" fontId="0" fillId="0" borderId="0" xfId="24" applyFont="1" applyBorder="1"/>
    <xf numFmtId="1" fontId="0" fillId="0" borderId="8" xfId="0" applyNumberFormat="1" applyBorder="1" applyAlignment="1">
      <alignment horizontal="center"/>
    </xf>
    <xf numFmtId="175" fontId="4" fillId="0" borderId="8" xfId="23" applyNumberFormat="1" applyBorder="1" applyAlignment="1" applyProtection="1">
      <alignment horizontal="center" vertical="center"/>
      <protection locked="0"/>
    </xf>
    <xf numFmtId="0" fontId="4" fillId="0" borderId="8" xfId="15" applyBorder="1">
      <alignment vertical="center"/>
    </xf>
    <xf numFmtId="175" fontId="20" fillId="0" borderId="8" xfId="23" applyNumberFormat="1" applyFont="1" applyBorder="1" applyAlignment="1">
      <alignment horizontal="center" vertical="center"/>
    </xf>
    <xf numFmtId="175" fontId="4" fillId="4" borderId="36" xfId="19" applyNumberFormat="1" applyBorder="1" applyAlignment="1">
      <alignment horizontal="center" vertical="center"/>
    </xf>
    <xf numFmtId="171" fontId="4" fillId="0" borderId="1" xfId="24" applyNumberFormat="1" applyBorder="1" applyAlignment="1" applyProtection="1">
      <alignment horizontal="center" vertical="center"/>
      <protection locked="0"/>
    </xf>
    <xf numFmtId="10" fontId="4" fillId="0" borderId="1" xfId="24" applyNumberFormat="1" applyBorder="1" applyAlignment="1" applyProtection="1">
      <alignment horizontal="center" vertical="center"/>
      <protection locked="0"/>
    </xf>
    <xf numFmtId="2" fontId="4" fillId="0" borderId="4" xfId="15" applyNumberFormat="1" applyBorder="1" applyAlignment="1">
      <alignment horizontal="center" vertical="center"/>
    </xf>
    <xf numFmtId="172" fontId="0" fillId="0" borderId="4" xfId="0" applyNumberFormat="1" applyBorder="1" applyAlignment="1">
      <alignment horizontal="center" vertical="center"/>
    </xf>
    <xf numFmtId="0" fontId="14" fillId="0" borderId="9" xfId="18" applyFill="1" applyBorder="1" applyAlignment="1">
      <alignment vertical="center" wrapText="1"/>
    </xf>
    <xf numFmtId="0" fontId="14" fillId="0" borderId="0" xfId="18" applyFill="1" applyBorder="1" applyAlignment="1">
      <alignment vertical="center" wrapText="1"/>
    </xf>
    <xf numFmtId="173" fontId="0" fillId="0" borderId="14" xfId="0" applyNumberFormat="1" applyBorder="1">
      <alignment vertical="center"/>
    </xf>
    <xf numFmtId="171" fontId="0" fillId="0" borderId="4" xfId="24" applyNumberFormat="1" applyFont="1" applyBorder="1" applyAlignment="1">
      <alignment horizontal="center" vertical="center"/>
    </xf>
    <xf numFmtId="5" fontId="7" fillId="4" borderId="14" xfId="19" applyNumberFormat="1" applyFont="1" applyBorder="1" applyAlignment="1">
      <alignment horizontal="center" vertical="center"/>
    </xf>
    <xf numFmtId="169" fontId="0" fillId="0" borderId="0" xfId="0" applyNumberFormat="1" applyBorder="1">
      <alignment vertical="center"/>
    </xf>
    <xf numFmtId="2" fontId="0" fillId="0" borderId="19" xfId="0" applyNumberFormat="1" applyBorder="1">
      <alignment vertical="center"/>
    </xf>
    <xf numFmtId="173" fontId="0" fillId="0" borderId="26" xfId="0" applyNumberFormat="1" applyBorder="1">
      <alignment vertical="center"/>
    </xf>
    <xf numFmtId="0" fontId="0" fillId="0" borderId="18" xfId="0" applyBorder="1" applyAlignment="1">
      <alignment horizontal="right" vertical="center"/>
    </xf>
    <xf numFmtId="173" fontId="0" fillId="0" borderId="28" xfId="0" applyNumberFormat="1" applyBorder="1">
      <alignment vertical="center"/>
    </xf>
    <xf numFmtId="0" fontId="0" fillId="0" borderId="24" xfId="0" applyBorder="1" applyAlignment="1">
      <alignment horizontal="right" vertical="center"/>
    </xf>
    <xf numFmtId="7" fontId="14" fillId="0" borderId="0" xfId="18" applyNumberFormat="1" applyAlignment="1"/>
    <xf numFmtId="173" fontId="0" fillId="0" borderId="0" xfId="0" applyNumberFormat="1" applyFont="1" applyAlignment="1">
      <alignment horizontal="center" vertical="center"/>
    </xf>
    <xf numFmtId="0" fontId="7" fillId="0" borderId="4" xfId="0" applyFont="1" applyFill="1" applyBorder="1" applyAlignment="1">
      <alignment horizontal="right" vertical="center"/>
    </xf>
    <xf numFmtId="173" fontId="0" fillId="0" borderId="4" xfId="0" applyNumberFormat="1" applyFont="1" applyBorder="1" applyAlignment="1">
      <alignment horizontal="center" vertical="center"/>
    </xf>
    <xf numFmtId="175" fontId="0" fillId="0" borderId="46" xfId="0" applyNumberFormat="1" applyBorder="1" applyAlignment="1">
      <alignment horizontal="center" vertical="center"/>
    </xf>
    <xf numFmtId="175" fontId="0" fillId="0" borderId="47" xfId="0" applyNumberFormat="1" applyBorder="1" applyAlignment="1">
      <alignment horizontal="center" vertical="center"/>
    </xf>
    <xf numFmtId="173" fontId="7" fillId="0" borderId="43" xfId="23" applyNumberFormat="1" applyFont="1" applyBorder="1" applyAlignment="1">
      <alignment horizontal="center" vertical="center"/>
    </xf>
    <xf numFmtId="173" fontId="7" fillId="0" borderId="44" xfId="23" applyNumberFormat="1" applyFont="1" applyBorder="1" applyAlignment="1">
      <alignment horizontal="center" vertical="center"/>
    </xf>
    <xf numFmtId="175" fontId="4" fillId="0" borderId="59" xfId="17" applyNumberFormat="1" applyFont="1" applyBorder="1" applyAlignment="1">
      <alignment horizontal="center"/>
      <protection locked="0"/>
    </xf>
    <xf numFmtId="175" fontId="4" fillId="0" borderId="40" xfId="17" applyNumberFormat="1" applyFont="1" applyBorder="1" applyAlignment="1">
      <alignment horizontal="center"/>
      <protection locked="0"/>
    </xf>
    <xf numFmtId="175" fontId="0" fillId="0" borderId="57" xfId="23" applyNumberFormat="1" applyFont="1" applyBorder="1" applyAlignment="1">
      <alignment horizontal="center" vertical="center"/>
    </xf>
    <xf numFmtId="175" fontId="0" fillId="0" borderId="58" xfId="0" applyNumberFormat="1" applyBorder="1" applyAlignment="1">
      <alignment horizontal="center" vertical="center"/>
    </xf>
    <xf numFmtId="175" fontId="0" fillId="0" borderId="58" xfId="23" applyNumberFormat="1" applyFont="1" applyBorder="1" applyAlignment="1">
      <alignment horizontal="center" vertical="center"/>
    </xf>
    <xf numFmtId="175" fontId="0" fillId="0" borderId="46" xfId="23" applyNumberFormat="1" applyFont="1" applyBorder="1" applyAlignment="1">
      <alignment horizontal="center" vertical="center"/>
    </xf>
    <xf numFmtId="175" fontId="0" fillId="0" borderId="47" xfId="23" applyNumberFormat="1" applyFont="1" applyBorder="1" applyAlignment="1">
      <alignment horizontal="center" vertical="center"/>
    </xf>
    <xf numFmtId="175" fontId="0" fillId="0" borderId="29" xfId="0" applyNumberFormat="1" applyBorder="1" applyAlignment="1">
      <alignment horizontal="center" vertical="center"/>
    </xf>
    <xf numFmtId="175" fontId="0" fillId="0" borderId="28" xfId="0" applyNumberFormat="1" applyBorder="1" applyAlignment="1">
      <alignment horizontal="center" vertical="center"/>
    </xf>
    <xf numFmtId="175" fontId="0" fillId="0" borderId="14" xfId="0" applyNumberFormat="1" applyBorder="1" applyAlignment="1">
      <alignment horizontal="center" vertical="center"/>
    </xf>
    <xf numFmtId="173" fontId="0" fillId="0" borderId="0" xfId="0" applyNumberFormat="1" applyFont="1" applyBorder="1" applyAlignment="1">
      <alignment horizontal="center" vertical="center"/>
    </xf>
    <xf numFmtId="173" fontId="0" fillId="0" borderId="0" xfId="0" applyNumberFormat="1" applyFont="1" applyBorder="1" applyAlignment="1">
      <alignment vertical="center"/>
    </xf>
    <xf numFmtId="171" fontId="4" fillId="0" borderId="0" xfId="24" applyNumberFormat="1" applyFont="1" applyBorder="1" applyAlignment="1">
      <alignment horizontal="center" vertical="center"/>
    </xf>
    <xf numFmtId="175" fontId="0" fillId="0" borderId="0" xfId="0" applyNumberFormat="1" applyFont="1" applyBorder="1" applyAlignment="1">
      <alignment horizontal="center" vertical="center"/>
    </xf>
    <xf numFmtId="1" fontId="0" fillId="0" borderId="0" xfId="0" applyNumberFormat="1" applyAlignment="1">
      <alignment horizontal="center" vertical="center"/>
    </xf>
    <xf numFmtId="9" fontId="4" fillId="0" borderId="1" xfId="24" applyNumberFormat="1" applyBorder="1" applyAlignment="1" applyProtection="1">
      <alignment horizontal="center" vertical="center"/>
      <protection locked="0"/>
    </xf>
    <xf numFmtId="171" fontId="0" fillId="0" borderId="0" xfId="0" applyNumberFormat="1" applyBorder="1" applyAlignment="1">
      <alignment horizontal="center" vertical="center"/>
    </xf>
    <xf numFmtId="0" fontId="7" fillId="0" borderId="28" xfId="0" applyFont="1" applyBorder="1" applyAlignment="1">
      <alignment horizontal="center"/>
    </xf>
    <xf numFmtId="171" fontId="0" fillId="0" borderId="0" xfId="0" applyNumberFormat="1" applyBorder="1" applyAlignment="1">
      <alignment horizontal="left" vertical="center"/>
    </xf>
    <xf numFmtId="171" fontId="0" fillId="0" borderId="0" xfId="24" applyNumberFormat="1" applyFont="1" applyBorder="1" applyAlignment="1">
      <alignment horizontal="center" vertical="center"/>
    </xf>
    <xf numFmtId="0" fontId="0" fillId="0" borderId="16" xfId="0" applyBorder="1" applyAlignment="1"/>
    <xf numFmtId="173" fontId="0" fillId="0" borderId="14" xfId="0" applyNumberFormat="1" applyBorder="1" applyAlignment="1">
      <alignment horizontal="center"/>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0" fillId="0" borderId="0" xfId="0" applyBorder="1" applyAlignment="1">
      <alignment horizontal="center" vertical="center"/>
    </xf>
    <xf numFmtId="0" fontId="14" fillId="0" borderId="0" xfId="18" applyAlignment="1" applyProtection="1">
      <alignment horizontal="left" wrapText="1"/>
    </xf>
    <xf numFmtId="0" fontId="14" fillId="0" borderId="0" xfId="18" applyAlignment="1" applyProtection="1">
      <alignment horizontal="left" vertical="top" wrapText="1"/>
    </xf>
    <xf numFmtId="0" fontId="0" fillId="0" borderId="0" xfId="0" applyAlignment="1">
      <alignment horizontal="right" vertical="center"/>
    </xf>
    <xf numFmtId="0" fontId="14" fillId="0" borderId="0" xfId="18" applyAlignment="1">
      <alignment horizontal="left" vertical="top" wrapText="1"/>
    </xf>
    <xf numFmtId="0" fontId="14" fillId="0" borderId="0" xfId="18" applyAlignment="1">
      <alignment horizontal="left" vertical="center" wrapText="1"/>
    </xf>
    <xf numFmtId="0" fontId="7" fillId="0" borderId="7" xfId="0" applyFont="1" applyBorder="1" applyAlignment="1">
      <alignment horizontal="center" vertical="center"/>
    </xf>
    <xf numFmtId="0" fontId="7" fillId="0" borderId="36" xfId="0" applyFont="1" applyBorder="1" applyAlignment="1">
      <alignment horizontal="center" vertical="center"/>
    </xf>
    <xf numFmtId="0" fontId="7" fillId="0" borderId="10" xfId="0" applyFont="1" applyBorder="1" applyAlignment="1">
      <alignment horizontal="center" wrapText="1"/>
    </xf>
    <xf numFmtId="0" fontId="7" fillId="0" borderId="9" xfId="0" applyFont="1" applyBorder="1" applyAlignment="1">
      <alignment horizontal="center" wrapText="1"/>
    </xf>
    <xf numFmtId="0" fontId="7" fillId="0" borderId="39" xfId="0" applyFont="1" applyBorder="1" applyAlignment="1">
      <alignment horizontal="center" wrapText="1"/>
    </xf>
    <xf numFmtId="0" fontId="14" fillId="0" borderId="0" xfId="18" applyBorder="1" applyAlignment="1" applyProtection="1">
      <alignment horizontal="left" vertical="center" wrapText="1"/>
      <protection locked="0"/>
    </xf>
    <xf numFmtId="0" fontId="7" fillId="0" borderId="0" xfId="0" applyFont="1" applyAlignment="1">
      <alignment horizontal="center" wrapText="1"/>
    </xf>
    <xf numFmtId="0" fontId="7" fillId="0" borderId="6" xfId="0" applyFont="1" applyBorder="1" applyAlignment="1">
      <alignment horizontal="center" wrapText="1"/>
    </xf>
    <xf numFmtId="0" fontId="18" fillId="0" borderId="4" xfId="0" applyFont="1" applyBorder="1" applyAlignment="1">
      <alignment horizontal="center"/>
    </xf>
    <xf numFmtId="0" fontId="18" fillId="0" borderId="4" xfId="0" applyFont="1" applyBorder="1" applyAlignment="1">
      <alignment horizont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7" xfId="0" applyFont="1" applyBorder="1" applyAlignment="1">
      <alignment horizontal="center" wrapText="1"/>
    </xf>
    <xf numFmtId="0" fontId="7" fillId="0" borderId="38" xfId="0" applyFont="1" applyBorder="1" applyAlignment="1">
      <alignment horizontal="center" wrapText="1"/>
    </xf>
    <xf numFmtId="0" fontId="7" fillId="0" borderId="13" xfId="0" applyFont="1" applyBorder="1" applyAlignment="1">
      <alignment horizontal="center" wrapText="1"/>
    </xf>
    <xf numFmtId="0" fontId="14" fillId="0" borderId="18" xfId="18" applyBorder="1" applyAlignment="1" applyProtection="1">
      <alignment horizontal="left" vertical="center" wrapText="1"/>
      <protection locked="0"/>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14" fillId="0" borderId="18" xfId="18" applyBorder="1" applyAlignment="1" applyProtection="1">
      <alignment horizontal="left" vertical="center" wrapText="1"/>
    </xf>
    <xf numFmtId="0" fontId="14" fillId="0" borderId="0" xfId="18" applyBorder="1" applyAlignment="1" applyProtection="1">
      <alignment horizontal="left" vertical="center" wrapText="1"/>
    </xf>
    <xf numFmtId="0" fontId="7" fillId="0" borderId="4" xfId="0" applyFont="1" applyBorder="1" applyAlignment="1">
      <alignment horizontal="center" vertical="center" wrapText="1"/>
    </xf>
    <xf numFmtId="0" fontId="14" fillId="0" borderId="0" xfId="18" applyBorder="1" applyAlignment="1">
      <alignment horizontal="left" vertical="center" wrapText="1"/>
    </xf>
    <xf numFmtId="0" fontId="7" fillId="0" borderId="17" xfId="0" applyFont="1" applyFill="1" applyBorder="1" applyAlignment="1">
      <alignment horizontal="center" vertical="center" wrapText="1"/>
    </xf>
    <xf numFmtId="0" fontId="7" fillId="0" borderId="19" xfId="0" applyFont="1" applyFill="1" applyBorder="1" applyAlignment="1">
      <alignment horizontal="center" vertical="center" wrapText="1"/>
    </xf>
    <xf numFmtId="173" fontId="7" fillId="0" borderId="0" xfId="0" applyNumberFormat="1" applyFont="1" applyBorder="1" applyAlignment="1">
      <alignment horizontal="center" vertical="center"/>
    </xf>
    <xf numFmtId="0" fontId="14" fillId="0" borderId="19" xfId="18" applyBorder="1" applyAlignment="1">
      <alignment horizontal="left" vertical="center" wrapText="1"/>
    </xf>
    <xf numFmtId="0" fontId="14" fillId="0" borderId="0" xfId="18" applyBorder="1" applyAlignment="1">
      <alignment horizontal="left" vertical="top" wrapText="1"/>
    </xf>
    <xf numFmtId="0" fontId="18" fillId="0" borderId="14" xfId="0" applyFont="1" applyBorder="1" applyAlignment="1">
      <alignment horizontal="center"/>
    </xf>
    <xf numFmtId="0" fontId="18" fillId="0" borderId="14" xfId="0" applyFont="1" applyBorder="1" applyAlignment="1">
      <alignment horizontal="righ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7" fillId="0" borderId="67"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0" fontId="7" fillId="0" borderId="71" xfId="0" applyFont="1" applyBorder="1" applyAlignment="1">
      <alignment vertical="center" wrapText="1"/>
    </xf>
    <xf numFmtId="0" fontId="7" fillId="0" borderId="72" xfId="0" applyFont="1" applyBorder="1" applyAlignment="1">
      <alignment vertical="center" wrapTex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6" xfId="0" applyFont="1" applyBorder="1" applyAlignment="1">
      <alignment horizontal="center" vertical="center"/>
    </xf>
    <xf numFmtId="0" fontId="7" fillId="0" borderId="53" xfId="0" applyFont="1" applyBorder="1" applyAlignment="1">
      <alignment horizontal="center" vertical="center"/>
    </xf>
    <xf numFmtId="0" fontId="7" fillId="0" borderId="56"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18"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18" fillId="0" borderId="14" xfId="0" applyFont="1" applyBorder="1" applyAlignment="1">
      <alignment horizontal="center" wrapText="1"/>
    </xf>
    <xf numFmtId="0" fontId="18" fillId="0" borderId="14" xfId="0" applyFont="1" applyBorder="1" applyAlignment="1">
      <alignment horizontal="right"/>
    </xf>
    <xf numFmtId="0" fontId="7" fillId="0" borderId="14" xfId="0" applyFont="1" applyBorder="1" applyAlignment="1">
      <alignment horizontal="center" wrapText="1"/>
    </xf>
    <xf numFmtId="0" fontId="7" fillId="0" borderId="14" xfId="0" applyFont="1" applyBorder="1" applyAlignment="1">
      <alignment horizontal="center" vertical="center"/>
    </xf>
    <xf numFmtId="0" fontId="7" fillId="0" borderId="14" xfId="0" applyFont="1" applyBorder="1" applyAlignment="1">
      <alignment horizontal="right"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14" xfId="0" applyFont="1" applyBorder="1" applyAlignment="1">
      <alignment horizontal="center"/>
    </xf>
    <xf numFmtId="0" fontId="7" fillId="0" borderId="0" xfId="0" applyFont="1" applyBorder="1" applyAlignment="1">
      <alignment horizontal="center"/>
    </xf>
    <xf numFmtId="0" fontId="16" fillId="0" borderId="14" xfId="0" applyFont="1" applyBorder="1" applyAlignment="1">
      <alignment horizontal="center" vertical="center" wrapText="1"/>
    </xf>
    <xf numFmtId="0" fontId="0" fillId="0" borderId="14" xfId="0" applyBorder="1" applyAlignment="1">
      <alignment horizontal="right" vertical="center"/>
    </xf>
    <xf numFmtId="175" fontId="0" fillId="0" borderId="30" xfId="23" applyNumberFormat="1" applyFont="1" applyBorder="1" applyAlignment="1">
      <alignment horizontal="center" vertical="center"/>
    </xf>
    <xf numFmtId="175" fontId="0" fillId="0" borderId="31" xfId="0" applyNumberFormat="1" applyBorder="1">
      <alignment vertical="center"/>
    </xf>
    <xf numFmtId="175" fontId="0" fillId="0" borderId="34" xfId="0" applyNumberFormat="1" applyBorder="1">
      <alignment vertical="center"/>
    </xf>
    <xf numFmtId="175" fontId="0" fillId="0" borderId="31" xfId="23" applyNumberFormat="1" applyFont="1" applyBorder="1" applyAlignment="1">
      <alignment horizontal="center" vertical="center"/>
    </xf>
    <xf numFmtId="175" fontId="0" fillId="0" borderId="34" xfId="23" applyNumberFormat="1" applyFont="1" applyBorder="1" applyAlignment="1">
      <alignment horizontal="center" vertical="center"/>
    </xf>
    <xf numFmtId="0" fontId="14" fillId="0" borderId="18" xfId="18" applyBorder="1" applyAlignment="1">
      <alignment horizontal="center" vertical="center" wrapText="1"/>
    </xf>
    <xf numFmtId="0" fontId="7" fillId="0" borderId="14" xfId="0" applyFont="1" applyBorder="1" applyAlignment="1">
      <alignment horizontal="center" vertical="center" wrapText="1"/>
    </xf>
    <xf numFmtId="0" fontId="14" fillId="0" borderId="18" xfId="18" applyBorder="1" applyAlignment="1">
      <alignment horizontal="left" vertical="top" wrapText="1"/>
    </xf>
    <xf numFmtId="0" fontId="14" fillId="0" borderId="0" xfId="18" applyAlignment="1">
      <alignment horizontal="center" vertical="center" wrapText="1"/>
    </xf>
    <xf numFmtId="0" fontId="14" fillId="0" borderId="0" xfId="18" applyBorder="1" applyAlignment="1">
      <alignment horizontal="center" wrapText="1"/>
    </xf>
    <xf numFmtId="0" fontId="7" fillId="0" borderId="34" xfId="0" applyFont="1" applyBorder="1" applyAlignment="1">
      <alignment horizontal="center" vertical="center" wrapText="1"/>
    </xf>
    <xf numFmtId="0" fontId="7" fillId="0" borderId="30" xfId="0" applyFont="1" applyBorder="1" applyAlignment="1">
      <alignment horizontal="center" wrapText="1"/>
    </xf>
    <xf numFmtId="0" fontId="0" fillId="0" borderId="31" xfId="0" applyBorder="1">
      <alignment vertical="center"/>
    </xf>
    <xf numFmtId="0" fontId="0" fillId="0" borderId="34" xfId="0" applyBorder="1">
      <alignment vertical="center"/>
    </xf>
    <xf numFmtId="0" fontId="7" fillId="0" borderId="30" xfId="0" applyFont="1" applyBorder="1" applyAlignment="1">
      <alignment horizontal="center" vertical="center" wrapText="1"/>
    </xf>
    <xf numFmtId="0" fontId="7" fillId="0" borderId="34" xfId="0" applyFont="1" applyBorder="1" applyAlignment="1">
      <alignment horizontal="center" wrapText="1"/>
    </xf>
    <xf numFmtId="0" fontId="0" fillId="0" borderId="14" xfId="0" applyBorder="1" applyAlignment="1">
      <alignment horizontal="center" vertical="center"/>
    </xf>
    <xf numFmtId="0" fontId="0" fillId="0" borderId="14" xfId="0" applyBorder="1" applyAlignment="1">
      <alignment horizontal="center" wrapText="1"/>
    </xf>
    <xf numFmtId="0" fontId="7" fillId="0" borderId="14" xfId="0" applyFont="1" applyFill="1" applyBorder="1" applyAlignment="1">
      <alignment horizontal="center" vertical="center"/>
    </xf>
    <xf numFmtId="0" fontId="14" fillId="0" borderId="18" xfId="18" applyBorder="1" applyAlignment="1">
      <alignment horizontal="left" vertical="center" wrapText="1"/>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0" xfId="0" applyFont="1" applyBorder="1" applyAlignment="1">
      <alignment horizont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9" xfId="0" applyFont="1" applyBorder="1" applyAlignment="1">
      <alignment horizontal="center" wrapTex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8" fillId="0" borderId="39" xfId="0" applyFont="1" applyBorder="1" applyAlignment="1">
      <alignment horizontal="right"/>
    </xf>
    <xf numFmtId="0" fontId="18" fillId="0" borderId="6" xfId="0" applyFont="1" applyBorder="1" applyAlignment="1">
      <alignment horizontal="right"/>
    </xf>
    <xf numFmtId="0" fontId="0" fillId="0" borderId="4" xfId="0" applyBorder="1" applyAlignment="1">
      <alignment horizontal="right" vertical="center"/>
    </xf>
    <xf numFmtId="0" fontId="7" fillId="0" borderId="4" xfId="0" applyFont="1" applyBorder="1" applyAlignment="1">
      <alignment horizontal="right" vertic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0" fillId="0" borderId="7" xfId="0" applyBorder="1" applyAlignment="1">
      <alignment horizontal="right"/>
    </xf>
    <xf numFmtId="0" fontId="0" fillId="0" borderId="5" xfId="0" applyBorder="1" applyAlignment="1">
      <alignment horizontal="right"/>
    </xf>
    <xf numFmtId="0" fontId="0" fillId="0" borderId="36" xfId="0" applyBorder="1" applyAlignment="1">
      <alignment horizontal="right"/>
    </xf>
    <xf numFmtId="0" fontId="18" fillId="0" borderId="4" xfId="0" applyFont="1" applyBorder="1" applyAlignment="1">
      <alignment horizontal="right"/>
    </xf>
    <xf numFmtId="0" fontId="14" fillId="0" borderId="9" xfId="18" applyFill="1" applyBorder="1" applyAlignment="1">
      <alignment horizontal="left" vertical="center" wrapText="1"/>
    </xf>
    <xf numFmtId="0" fontId="14" fillId="0" borderId="0" xfId="18" applyFill="1" applyBorder="1" applyAlignment="1">
      <alignment horizontal="left" vertical="center" wrapText="1"/>
    </xf>
    <xf numFmtId="0" fontId="14" fillId="0" borderId="9" xfId="18" applyFill="1" applyBorder="1" applyAlignment="1">
      <alignment horizontal="left" vertical="top" wrapText="1"/>
    </xf>
    <xf numFmtId="0" fontId="14" fillId="0" borderId="0" xfId="18" applyFill="1" applyBorder="1" applyAlignment="1">
      <alignment horizontal="left" vertical="top"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right"/>
    </xf>
    <xf numFmtId="0" fontId="7" fillId="0" borderId="4" xfId="15" applyFont="1" applyBorder="1" applyAlignment="1" applyProtection="1">
      <alignment horizontal="right" vertical="center"/>
      <protection locked="0"/>
    </xf>
  </cellXfs>
  <cellStyles count="25">
    <cellStyle name="Calculation" xfId="1" builtinId="22" customBuiltin="1"/>
    <cellStyle name="Checksum" xfId="2"/>
    <cellStyle name="Currency" xfId="23" builtinId="4"/>
    <cellStyle name="H1" xfId="3"/>
    <cellStyle name="H2" xfId="4"/>
    <cellStyle name="H3" xfId="5"/>
    <cellStyle name="H4" xfId="6"/>
    <cellStyle name="Highlight" xfId="7"/>
    <cellStyle name="Input data" xfId="16"/>
    <cellStyle name="Input parameter" xfId="17"/>
    <cellStyle name="Name" xfId="8"/>
    <cellStyle name="Normal" xfId="0" builtinId="0"/>
    <cellStyle name="Note" xfId="9" builtinId="10" customBuiltin="1"/>
    <cellStyle name="NoteOrSource" xfId="18"/>
    <cellStyle name="Number" xfId="10"/>
    <cellStyle name="Ofcom Note" xfId="21"/>
    <cellStyle name="Ofcom Output" xfId="19"/>
    <cellStyle name="OfcomConfidential" xfId="22"/>
    <cellStyle name="Output" xfId="11" builtinId="21" customBuiltin="1"/>
    <cellStyle name="Percent" xfId="24" builtinId="5"/>
    <cellStyle name="Percentage" xfId="12"/>
    <cellStyle name="QA_Highlight" xfId="20"/>
    <cellStyle name="Source" xfId="13"/>
    <cellStyle name="Total" xfId="14" builtinId="25" customBuiltin="1"/>
    <cellStyle name="Unhighlight"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F7941D"/>
      <color rgb="FFFFF200"/>
      <color rgb="FFC90044"/>
      <color rgb="FF00FFFF"/>
      <color rgb="FF969696"/>
      <color rgb="FF660066"/>
      <color rgb="FFE8D9E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microsoft.com/office/2006/relationships/attachedToolbars" Target="attachedToolbars.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66675</xdr:rowOff>
    </xdr:from>
    <xdr:to>
      <xdr:col>1</xdr:col>
      <xdr:colOff>628650</xdr:colOff>
      <xdr:row>2</xdr:row>
      <xdr:rowOff>0</xdr:rowOff>
    </xdr:to>
    <xdr:pic>
      <xdr:nvPicPr>
        <xdr:cNvPr id="5188" name="Picture 66"/>
        <xdr:cNvPicPr>
          <a:picLocks noChangeAspect="1" noChangeArrowheads="1"/>
        </xdr:cNvPicPr>
      </xdr:nvPicPr>
      <xdr:blipFill>
        <a:blip xmlns:r="http://schemas.openxmlformats.org/officeDocument/2006/relationships" r:embed="rId1"/>
        <a:srcRect/>
        <a:stretch>
          <a:fillRect/>
        </a:stretch>
      </xdr:blipFill>
      <xdr:spPr bwMode="auto">
        <a:xfrm>
          <a:off x="57150" y="219075"/>
          <a:ext cx="2209800" cy="6477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638175</xdr:colOff>
      <xdr:row>2</xdr:row>
      <xdr:rowOff>19050</xdr:rowOff>
    </xdr:to>
    <xdr:pic>
      <xdr:nvPicPr>
        <xdr:cNvPr id="6165" name="Picture 66"/>
        <xdr:cNvPicPr>
          <a:picLocks noChangeAspect="1" noChangeArrowheads="1"/>
        </xdr:cNvPicPr>
      </xdr:nvPicPr>
      <xdr:blipFill>
        <a:blip xmlns:r="http://schemas.openxmlformats.org/officeDocument/2006/relationships" r:embed="rId1"/>
        <a:srcRect/>
        <a:stretch>
          <a:fillRect/>
        </a:stretch>
      </xdr:blipFill>
      <xdr:spPr bwMode="auto">
        <a:xfrm>
          <a:off x="66675" y="57150"/>
          <a:ext cx="2209800" cy="6477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twholesale.com/pages/cmsjsps/service_and_support/service_support_hub/online_pricing_hub/cpl_hub/cpl_pricing_hub/cpl_browsable_sections/cpl_browsable_sectionb_8.jsp" TargetMode="External"/><Relationship Id="rId2" Type="http://schemas.openxmlformats.org/officeDocument/2006/relationships/hyperlink" Target="http://www.openreach.co.uk/orpg/home/products/pricing/loadProductPriceDetails.do?data=ZdqG%2Fxv%2FjSuBEEITnogh5uNOEwQ2%2FKws5WBAVcIlcholMnGHsqdC0vzO163bJmh34D91D7M0q8u%2F%0AIlSgtIFAKw%3D%3D" TargetMode="External"/><Relationship Id="rId1" Type="http://schemas.openxmlformats.org/officeDocument/2006/relationships/hyperlink" Target="http://www.openreach.co.uk/orpg/home/products/pricing/loadProductPrices.do?data=%2Bs55xT91%2FPruY0Pxlyi4HVnqs1m6OcKz301sgolk8P2FdiaKKPEfrCsJCb3sZkzJ"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openreach.co.uk/orpg/pricing/loadProductPrices.do?data=%2Bs55xT91%2FPruY0Pxlyi4HVnqs1m6OcKz301sgolk8P2FdiaKKPEfrCsJCb3sZkzJ"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Preamble1">
    <outlinePr summaryBelow="0"/>
    <pageSetUpPr autoPageBreaks="0" fitToPage="1"/>
  </sheetPr>
  <dimension ref="A1:E16"/>
  <sheetViews>
    <sheetView showGridLines="0" tabSelected="1" defaultGridColor="0" colorId="22" zoomScaleNormal="95" zoomScaleSheetLayoutView="75" workbookViewId="0">
      <pane ySplit="2" topLeftCell="A3" activePane="bottomLeft" state="frozen"/>
      <selection pane="bottomLeft" activeCell="A4" sqref="A4"/>
    </sheetView>
  </sheetViews>
  <sheetFormatPr defaultColWidth="12.7109375" defaultRowHeight="12"/>
  <cols>
    <col min="1" max="1" width="24.5703125" style="8" customWidth="1"/>
    <col min="2" max="2" width="25.5703125" style="8" customWidth="1"/>
    <col min="3" max="3" width="37.5703125" style="8" customWidth="1"/>
    <col min="4" max="4" width="14.5703125" style="8" customWidth="1"/>
    <col min="5" max="5" width="15" style="8" customWidth="1"/>
  </cols>
  <sheetData>
    <row r="1" spans="1:5" ht="12" customHeight="1">
      <c r="C1" s="18"/>
    </row>
    <row r="2" spans="1:5" ht="56.25" customHeight="1">
      <c r="A2"/>
      <c r="B2"/>
      <c r="C2"/>
      <c r="D2"/>
      <c r="E2"/>
    </row>
    <row r="3" spans="1:5" ht="41.25" customHeight="1">
      <c r="A3" s="21" t="s">
        <v>400</v>
      </c>
      <c r="B3"/>
      <c r="C3"/>
      <c r="D3"/>
      <c r="E3"/>
    </row>
    <row r="4" spans="1:5" s="22" customFormat="1" ht="41.25" customHeight="1">
      <c r="A4" s="21"/>
    </row>
    <row r="5" spans="1:5" s="1" customFormat="1" ht="18">
      <c r="A5" s="6" t="s">
        <v>5</v>
      </c>
      <c r="C5"/>
    </row>
    <row r="6" spans="1:5">
      <c r="A6"/>
      <c r="B6"/>
      <c r="C6"/>
      <c r="D6"/>
      <c r="E6"/>
    </row>
    <row r="7" spans="1:5" ht="15.75">
      <c r="A7" s="2" t="s">
        <v>0</v>
      </c>
      <c r="B7" s="2" t="s">
        <v>1</v>
      </c>
      <c r="C7" s="4"/>
      <c r="D7" s="2"/>
      <c r="E7" s="2"/>
    </row>
    <row r="8" spans="1:5">
      <c r="A8" s="8" t="s">
        <v>5</v>
      </c>
      <c r="B8" s="8" t="s">
        <v>6</v>
      </c>
    </row>
    <row r="9" spans="1:5">
      <c r="A9" s="13" t="s">
        <v>196</v>
      </c>
      <c r="B9" s="13" t="s">
        <v>201</v>
      </c>
    </row>
    <row r="10" spans="1:5">
      <c r="A10" s="13" t="s">
        <v>200</v>
      </c>
      <c r="B10" s="13" t="s">
        <v>202</v>
      </c>
    </row>
    <row r="11" spans="1:5">
      <c r="A11" s="13" t="s">
        <v>152</v>
      </c>
      <c r="B11" s="13" t="s">
        <v>153</v>
      </c>
    </row>
    <row r="12" spans="1:5">
      <c r="A12" s="13" t="s">
        <v>193</v>
      </c>
      <c r="B12" s="13" t="s">
        <v>398</v>
      </c>
    </row>
    <row r="13" spans="1:5">
      <c r="A13" s="13" t="s">
        <v>51</v>
      </c>
      <c r="B13" s="13" t="s">
        <v>233</v>
      </c>
    </row>
    <row r="14" spans="1:5">
      <c r="A14" s="13" t="s">
        <v>106</v>
      </c>
      <c r="B14" s="13" t="s">
        <v>234</v>
      </c>
    </row>
    <row r="15" spans="1:5">
      <c r="A15" s="13" t="s">
        <v>124</v>
      </c>
      <c r="B15" s="13" t="s">
        <v>235</v>
      </c>
    </row>
    <row r="16" spans="1:5">
      <c r="A16" s="13"/>
      <c r="B16" s="13"/>
    </row>
  </sheetData>
  <phoneticPr fontId="0" type="noConversion"/>
  <dataValidations count="2">
    <dataValidation type="list" allowBlank="1" showInputMessage="1" promptTitle="Input Parameter" prompt="Select from list" sqref="D9:D16">
      <formula1>"Work in progress, Ready for review, Approved for release, Archived"</formula1>
    </dataValidation>
    <dataValidation allowBlank="1" sqref="D8"/>
  </dataValidations>
  <pageMargins left="0.70866141732283472" right="0.70866141732283472" top="0.51181102362204722" bottom="0.51181102362204722" header="0.51181102362204722" footer="0.35433070866141736"/>
  <pageSetup paperSize="9" scale="96" orientation="portrait" horizontalDpi="4294967292" verticalDpi="4294967292" r:id="rId1"/>
  <headerFooter alignWithMargins="0">
    <oddHeader>&amp;C&amp;F</oddHeader>
    <oddFooter>&amp;L&amp;A :page&amp;P&amp;COfcom&amp;R&amp;D</oddFooter>
  </headerFooter>
  <drawing r:id="rId2"/>
</worksheet>
</file>

<file path=xl/worksheets/sheet2.xml><?xml version="1.0" encoding="utf-8"?>
<worksheet xmlns="http://schemas.openxmlformats.org/spreadsheetml/2006/main" xmlns:r="http://schemas.openxmlformats.org/officeDocument/2006/relationships">
  <sheetPr codeName="Preamble4">
    <outlinePr summaryBelow="0"/>
    <pageSetUpPr autoPageBreaks="0"/>
  </sheetPr>
  <dimension ref="A1:H31"/>
  <sheetViews>
    <sheetView showGridLines="0" showRowColHeaders="0" defaultGridColor="0" colorId="22" zoomScaleNormal="95" zoomScaleSheetLayoutView="75" workbookViewId="0">
      <pane ySplit="2" topLeftCell="A3" activePane="bottomLeft" state="frozen"/>
      <selection pane="bottomLeft" activeCell="A28" sqref="A28"/>
    </sheetView>
  </sheetViews>
  <sheetFormatPr defaultColWidth="12.7109375" defaultRowHeight="12"/>
  <cols>
    <col min="1" max="1" width="24.5703125" style="13" customWidth="1"/>
    <col min="2" max="2" width="29" style="13" customWidth="1"/>
    <col min="3" max="3" width="33.42578125" style="13" customWidth="1"/>
    <col min="4" max="4" width="36.42578125" style="13" customWidth="1"/>
    <col min="5" max="5" width="64.85546875" style="13" customWidth="1"/>
  </cols>
  <sheetData>
    <row r="1" spans="1:8" ht="12" customHeight="1">
      <c r="A1" s="8"/>
      <c r="B1" s="8"/>
      <c r="C1" s="18"/>
      <c r="D1" s="19"/>
    </row>
    <row r="2" spans="1:8" ht="42" customHeight="1">
      <c r="D2" s="18" t="s">
        <v>32</v>
      </c>
    </row>
    <row r="3" spans="1:8">
      <c r="A3"/>
      <c r="B3"/>
      <c r="C3"/>
      <c r="D3"/>
      <c r="E3"/>
    </row>
    <row r="4" spans="1:8" ht="18">
      <c r="A4" s="14" t="s">
        <v>33</v>
      </c>
      <c r="C4" s="11"/>
      <c r="D4"/>
      <c r="E4"/>
    </row>
    <row r="5" spans="1:8" ht="12" customHeight="1">
      <c r="D5" s="24"/>
      <c r="E5" s="24"/>
      <c r="F5" s="24"/>
      <c r="G5" s="24"/>
      <c r="H5" s="24"/>
    </row>
    <row r="6" spans="1:8">
      <c r="A6" s="7" t="s">
        <v>8</v>
      </c>
      <c r="B6" s="10" t="s">
        <v>9</v>
      </c>
      <c r="D6" s="24"/>
      <c r="E6" s="24"/>
      <c r="F6" s="24"/>
      <c r="G6" s="24"/>
      <c r="H6" s="24"/>
    </row>
    <row r="7" spans="1:8">
      <c r="A7" s="12" t="s">
        <v>25</v>
      </c>
      <c r="B7" s="10" t="s">
        <v>30</v>
      </c>
      <c r="D7" s="24"/>
      <c r="E7" s="24"/>
      <c r="F7" s="24"/>
      <c r="G7" s="24"/>
      <c r="H7" s="24"/>
    </row>
    <row r="8" spans="1:8" ht="12.75" customHeight="1">
      <c r="A8" s="12" t="s">
        <v>3</v>
      </c>
      <c r="B8" s="10" t="s">
        <v>17</v>
      </c>
      <c r="D8" s="24"/>
      <c r="E8" s="24"/>
      <c r="F8" s="24"/>
      <c r="G8" s="24"/>
      <c r="H8" s="24"/>
    </row>
    <row r="9" spans="1:8" ht="12" customHeight="1">
      <c r="A9" s="12" t="s">
        <v>2</v>
      </c>
      <c r="B9" s="10" t="s">
        <v>21</v>
      </c>
      <c r="D9" s="24"/>
      <c r="E9" s="25"/>
      <c r="F9" s="24"/>
      <c r="G9" s="24"/>
      <c r="H9" s="24"/>
    </row>
    <row r="10" spans="1:8" ht="6" customHeight="1">
      <c r="A10" s="12"/>
      <c r="B10"/>
      <c r="D10" s="24"/>
      <c r="E10" s="24"/>
      <c r="F10" s="24"/>
      <c r="G10" s="24"/>
      <c r="H10" s="24"/>
    </row>
    <row r="11" spans="1:8">
      <c r="A11" s="7" t="s">
        <v>10</v>
      </c>
      <c r="B11" s="26" t="s">
        <v>11</v>
      </c>
      <c r="C11" s="24" t="s">
        <v>24</v>
      </c>
      <c r="D11" s="24"/>
      <c r="E11" s="24"/>
      <c r="F11" s="24"/>
      <c r="G11" s="24"/>
      <c r="H11" s="24"/>
    </row>
    <row r="12" spans="1:8">
      <c r="B12" s="26" t="s">
        <v>22</v>
      </c>
      <c r="C12" s="24" t="s">
        <v>24</v>
      </c>
      <c r="D12" s="24"/>
      <c r="E12" s="24"/>
      <c r="F12" s="24"/>
      <c r="G12" s="24"/>
      <c r="H12" s="24"/>
    </row>
    <row r="13" spans="1:8">
      <c r="B13" s="26" t="s">
        <v>23</v>
      </c>
      <c r="C13" s="24" t="s">
        <v>24</v>
      </c>
      <c r="D13" s="24"/>
      <c r="E13" s="24"/>
      <c r="F13" s="24"/>
      <c r="G13" s="24"/>
      <c r="H13" s="24"/>
    </row>
    <row r="14" spans="1:8" ht="12.75" customHeight="1">
      <c r="B14" s="16" t="s">
        <v>12</v>
      </c>
      <c r="C14" s="24" t="s">
        <v>24</v>
      </c>
      <c r="D14" s="24"/>
      <c r="E14" s="24"/>
      <c r="F14" s="24"/>
      <c r="G14" s="24"/>
      <c r="H14" s="24"/>
    </row>
    <row r="15" spans="1:8" ht="6" customHeight="1">
      <c r="B15" s="16"/>
      <c r="C15"/>
      <c r="D15" s="24"/>
      <c r="E15" s="24"/>
      <c r="F15" s="24"/>
      <c r="G15" s="24"/>
      <c r="H15" s="24"/>
    </row>
    <row r="16" spans="1:8">
      <c r="A16" s="12" t="s">
        <v>31</v>
      </c>
      <c r="B16" s="26" t="s">
        <v>26</v>
      </c>
      <c r="C16" s="24" t="s">
        <v>24</v>
      </c>
      <c r="D16" s="24"/>
      <c r="E16" s="24"/>
      <c r="F16" s="24"/>
      <c r="G16" s="24"/>
      <c r="H16" s="24"/>
    </row>
    <row r="17" spans="1:8">
      <c r="A17" s="7"/>
      <c r="B17" s="26" t="s">
        <v>27</v>
      </c>
      <c r="C17" s="24" t="s">
        <v>24</v>
      </c>
      <c r="D17" s="24"/>
      <c r="E17" s="24"/>
      <c r="F17" s="24"/>
      <c r="G17" s="24"/>
      <c r="H17" s="24"/>
    </row>
    <row r="18" spans="1:8">
      <c r="A18" s="7"/>
      <c r="B18" s="26" t="s">
        <v>28</v>
      </c>
      <c r="C18" s="24" t="s">
        <v>24</v>
      </c>
      <c r="D18" s="24"/>
      <c r="E18" s="24"/>
      <c r="F18" s="24"/>
      <c r="G18" s="24"/>
      <c r="H18" s="24"/>
    </row>
    <row r="19" spans="1:8">
      <c r="A19" s="7"/>
      <c r="B19" s="26" t="s">
        <v>29</v>
      </c>
      <c r="C19" s="24" t="s">
        <v>24</v>
      </c>
      <c r="D19" s="24"/>
      <c r="E19" s="24"/>
      <c r="F19" s="24"/>
      <c r="G19" s="24"/>
      <c r="H19" s="24"/>
    </row>
    <row r="20" spans="1:8" ht="6.75" customHeight="1">
      <c r="A20" s="7"/>
      <c r="B20" s="26"/>
      <c r="C20"/>
      <c r="D20" s="24"/>
      <c r="E20" s="24"/>
      <c r="F20" s="24"/>
      <c r="G20" s="24"/>
      <c r="H20" s="24"/>
    </row>
    <row r="21" spans="1:8" ht="15" customHeight="1">
      <c r="A21" s="7" t="s">
        <v>13</v>
      </c>
      <c r="B21" s="26" t="s">
        <v>14</v>
      </c>
      <c r="C21" s="24" t="s">
        <v>24</v>
      </c>
      <c r="D21" s="24"/>
      <c r="E21" s="24"/>
      <c r="F21" s="24"/>
      <c r="G21" s="24"/>
      <c r="H21" s="24"/>
    </row>
    <row r="22" spans="1:8">
      <c r="A22" s="7"/>
      <c r="B22" s="16" t="s">
        <v>15</v>
      </c>
      <c r="C22" s="24" t="s">
        <v>24</v>
      </c>
      <c r="D22" s="24"/>
      <c r="E22" s="24"/>
      <c r="F22" s="24"/>
      <c r="G22" s="24"/>
      <c r="H22" s="24"/>
    </row>
    <row r="23" spans="1:8">
      <c r="A23" s="7"/>
      <c r="B23" s="26" t="s">
        <v>16</v>
      </c>
      <c r="C23" s="24" t="s">
        <v>24</v>
      </c>
      <c r="D23"/>
      <c r="E23"/>
    </row>
    <row r="24" spans="1:8" ht="4.5" customHeight="1">
      <c r="A24"/>
      <c r="B24"/>
      <c r="C24"/>
      <c r="D24"/>
      <c r="E24"/>
    </row>
    <row r="25" spans="1:8" s="1" customFormat="1" ht="18">
      <c r="A25" s="14" t="s">
        <v>18</v>
      </c>
      <c r="C25"/>
    </row>
    <row r="26" spans="1:8" ht="6" customHeight="1">
      <c r="A26"/>
      <c r="B26"/>
      <c r="C26"/>
      <c r="D26"/>
      <c r="E26"/>
    </row>
    <row r="27" spans="1:8" ht="15.75">
      <c r="A27" s="2" t="s">
        <v>0</v>
      </c>
      <c r="B27" s="15" t="s">
        <v>20</v>
      </c>
      <c r="C27" s="15" t="s">
        <v>4</v>
      </c>
      <c r="D27" s="15" t="s">
        <v>19</v>
      </c>
    </row>
    <row r="28" spans="1:8">
      <c r="D28" s="10"/>
    </row>
    <row r="29" spans="1:8">
      <c r="D29" s="10"/>
    </row>
    <row r="30" spans="1:8">
      <c r="D30" s="10"/>
    </row>
    <row r="31" spans="1:8">
      <c r="B31" s="9"/>
      <c r="D31"/>
    </row>
  </sheetData>
  <phoneticPr fontId="0" type="noConversion"/>
  <dataValidations count="2">
    <dataValidation type="list" allowBlank="1" showInputMessage="1" showErrorMessage="1" sqref="C21:C23 C11:C14 C16:C19">
      <formula1>"Yes,No"</formula1>
    </dataValidation>
    <dataValidation type="list" allowBlank="1" showInputMessage="1" showErrorMessage="1" promptTitle="Input Parameter" prompt="Select from list" sqref="B9 D28:D30">
      <formula1>"QA in progress, QA completed but issues to resolve, QA completed"</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3.xml><?xml version="1.0" encoding="utf-8"?>
<worksheet xmlns="http://schemas.openxmlformats.org/spreadsheetml/2006/main" xmlns:r="http://schemas.openxmlformats.org/officeDocument/2006/relationships">
  <sheetPr codeName="Sheet1">
    <pageSetUpPr fitToPage="1"/>
  </sheetPr>
  <dimension ref="A1:XFD150"/>
  <sheetViews>
    <sheetView workbookViewId="0">
      <selection activeCell="A2" sqref="A2"/>
    </sheetView>
  </sheetViews>
  <sheetFormatPr defaultRowHeight="12"/>
  <cols>
    <col min="1" max="1" width="9.140625" customWidth="1"/>
    <col min="2" max="2" width="23.28515625" customWidth="1"/>
    <col min="3" max="3" width="12" customWidth="1"/>
    <col min="4" max="4" width="11.7109375" customWidth="1"/>
    <col min="5" max="5" width="11.85546875" customWidth="1"/>
    <col min="6" max="6" width="11.28515625" customWidth="1"/>
    <col min="9" max="9" width="11" bestFit="1" customWidth="1"/>
    <col min="10" max="10" width="11.28515625" bestFit="1" customWidth="1"/>
    <col min="11" max="11" width="11.140625" customWidth="1"/>
    <col min="13" max="13" width="9.5703125" bestFit="1" customWidth="1"/>
    <col min="15" max="15" width="11" bestFit="1" customWidth="1"/>
    <col min="17" max="17" width="10.140625" customWidth="1"/>
    <col min="18" max="18" width="13.5703125" bestFit="1" customWidth="1"/>
  </cols>
  <sheetData>
    <row r="1" spans="1:16384" ht="40.5" customHeight="1">
      <c r="A1" s="5" t="s">
        <v>196</v>
      </c>
    </row>
    <row r="2" spans="1:16384" s="22" customFormat="1" ht="15" customHeight="1">
      <c r="A2" s="37" t="s">
        <v>208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pans="1:16384" s="22" customFormat="1" ht="15.75" customHeight="1">
      <c r="A3" s="2" t="s">
        <v>199</v>
      </c>
      <c r="F3" s="46" t="s">
        <v>260</v>
      </c>
      <c r="G3" s="46" t="s">
        <v>261</v>
      </c>
    </row>
    <row r="4" spans="1:16384" s="22" customFormat="1" ht="15.75" customHeight="1">
      <c r="D4" s="34" t="s">
        <v>191</v>
      </c>
      <c r="E4" s="230">
        <v>83.5</v>
      </c>
      <c r="F4" s="99">
        <v>0.7</v>
      </c>
      <c r="G4" s="228">
        <f>E4*F4</f>
        <v>58.449999999999996</v>
      </c>
      <c r="H4" s="408" t="s">
        <v>188</v>
      </c>
      <c r="I4" s="408"/>
      <c r="J4" s="408"/>
      <c r="K4" s="408"/>
      <c r="L4" s="408"/>
    </row>
    <row r="5" spans="1:16384" s="22" customFormat="1" ht="15.75" customHeight="1">
      <c r="A5"/>
      <c r="D5" s="34" t="s">
        <v>190</v>
      </c>
      <c r="E5" s="119">
        <v>4</v>
      </c>
      <c r="F5" s="99">
        <v>0.7</v>
      </c>
      <c r="G5" s="228">
        <f t="shared" ref="G5" si="0">E5*F5</f>
        <v>2.8</v>
      </c>
      <c r="H5" s="408"/>
      <c r="I5" s="408"/>
      <c r="J5" s="408"/>
      <c r="K5" s="408"/>
      <c r="L5" s="408"/>
    </row>
    <row r="6" spans="1:16384" s="22" customFormat="1" ht="15.75" customHeight="1">
      <c r="A6"/>
      <c r="D6" s="34" t="s">
        <v>299</v>
      </c>
      <c r="E6" s="231">
        <v>240</v>
      </c>
      <c r="F6" s="140" t="s">
        <v>209</v>
      </c>
      <c r="G6" s="111"/>
      <c r="H6" s="111"/>
      <c r="I6" s="111"/>
    </row>
    <row r="7" spans="1:16384" s="22" customFormat="1" ht="15.75" customHeight="1">
      <c r="A7" s="28"/>
      <c r="D7" s="34" t="s">
        <v>50</v>
      </c>
      <c r="E7" s="93">
        <v>980</v>
      </c>
      <c r="F7" s="98" t="s">
        <v>236</v>
      </c>
    </row>
    <row r="8" spans="1:16384" s="22" customFormat="1" ht="15.75" customHeight="1">
      <c r="A8" s="5"/>
    </row>
    <row r="9" spans="1:16384" s="22" customFormat="1" ht="15.75" customHeight="1">
      <c r="A9" s="139" t="s">
        <v>165</v>
      </c>
      <c r="E9" s="27"/>
      <c r="F9"/>
    </row>
    <row r="10" spans="1:16384" s="22" customFormat="1" ht="15.75" customHeight="1">
      <c r="D10" s="34" t="s">
        <v>166</v>
      </c>
      <c r="E10" s="93">
        <v>40</v>
      </c>
      <c r="F10" s="37" t="s">
        <v>210</v>
      </c>
    </row>
    <row r="11" spans="1:16384" s="22" customFormat="1" ht="15.75" customHeight="1">
      <c r="D11" s="34" t="s">
        <v>167</v>
      </c>
      <c r="E11" s="93">
        <v>15</v>
      </c>
      <c r="F11" s="37" t="s">
        <v>210</v>
      </c>
    </row>
    <row r="12" spans="1:16384" s="22" customFormat="1">
      <c r="B12" s="91"/>
      <c r="D12" s="54"/>
      <c r="E12" s="92"/>
    </row>
    <row r="13" spans="1:16384" ht="15.75" customHeight="1">
      <c r="A13" s="4" t="s">
        <v>51</v>
      </c>
      <c r="C13" s="55"/>
    </row>
    <row r="14" spans="1:16384" ht="12" customHeight="1">
      <c r="B14" s="41" t="s">
        <v>60</v>
      </c>
      <c r="C14" s="409" t="s">
        <v>204</v>
      </c>
      <c r="D14" s="409"/>
      <c r="E14" s="409"/>
      <c r="F14" s="409"/>
      <c r="G14" s="409"/>
      <c r="H14" s="409"/>
    </row>
    <row r="15" spans="1:16384" s="22" customFormat="1" ht="12" customHeight="1">
      <c r="B15" s="41"/>
      <c r="C15" s="409"/>
      <c r="D15" s="409"/>
      <c r="E15" s="409"/>
      <c r="F15" s="409"/>
      <c r="G15" s="409"/>
      <c r="H15" s="409"/>
    </row>
    <row r="16" spans="1:16384">
      <c r="A16" s="22"/>
      <c r="D16" s="41"/>
      <c r="E16" s="222"/>
      <c r="F16" s="31" t="s">
        <v>260</v>
      </c>
      <c r="G16" s="31" t="s">
        <v>261</v>
      </c>
      <c r="H16" s="222"/>
      <c r="I16" s="22"/>
      <c r="J16" s="22"/>
      <c r="K16" s="22"/>
      <c r="L16" s="22"/>
      <c r="M16" s="22"/>
      <c r="N16" s="22"/>
      <c r="O16" s="22"/>
    </row>
    <row r="17" spans="1:15" s="22" customFormat="1" ht="15">
      <c r="A17"/>
      <c r="D17" s="101" t="s">
        <v>85</v>
      </c>
      <c r="E17" s="119">
        <v>256.8</v>
      </c>
      <c r="F17" s="99">
        <v>0.7</v>
      </c>
      <c r="G17" s="125">
        <f>E17*F17</f>
        <v>179.76</v>
      </c>
      <c r="H17" s="37" t="s">
        <v>157</v>
      </c>
      <c r="I17"/>
      <c r="J17"/>
      <c r="K17"/>
      <c r="L17"/>
      <c r="M17"/>
      <c r="N17"/>
      <c r="O17"/>
    </row>
    <row r="18" spans="1:15" ht="15">
      <c r="A18" s="22"/>
      <c r="B18" s="101"/>
      <c r="C18" s="54"/>
      <c r="D18" s="37"/>
      <c r="E18" s="22"/>
      <c r="F18" s="22"/>
      <c r="G18" s="22"/>
      <c r="H18" s="22"/>
      <c r="I18" s="22"/>
      <c r="J18" s="22"/>
      <c r="K18" s="22"/>
      <c r="L18" s="22"/>
      <c r="M18" s="22"/>
      <c r="N18" s="22"/>
      <c r="O18" s="22"/>
    </row>
    <row r="19" spans="1:15" ht="15">
      <c r="B19" s="101" t="s">
        <v>63</v>
      </c>
      <c r="C19" s="31" t="s">
        <v>64</v>
      </c>
      <c r="D19" s="31" t="s">
        <v>65</v>
      </c>
      <c r="E19" s="31" t="s">
        <v>66</v>
      </c>
      <c r="F19" s="31" t="s">
        <v>260</v>
      </c>
      <c r="G19" s="31" t="s">
        <v>261</v>
      </c>
    </row>
    <row r="20" spans="1:15">
      <c r="C20" s="40">
        <v>1</v>
      </c>
      <c r="D20" s="40">
        <v>3</v>
      </c>
      <c r="E20" s="118">
        <v>4928.3999999999996</v>
      </c>
      <c r="F20" s="99">
        <v>0.7</v>
      </c>
      <c r="G20" s="125">
        <f>E20*F20</f>
        <v>3449.8799999999997</v>
      </c>
      <c r="H20" s="37" t="s">
        <v>157</v>
      </c>
    </row>
    <row r="21" spans="1:15">
      <c r="C21" s="40">
        <v>4</v>
      </c>
      <c r="D21" s="40">
        <v>6</v>
      </c>
      <c r="E21" s="118">
        <v>6230.8</v>
      </c>
      <c r="F21" s="99">
        <v>0.7</v>
      </c>
      <c r="G21" s="125">
        <f t="shared" ref="G21:G26" si="1">E21*F21</f>
        <v>4361.5599999999995</v>
      </c>
      <c r="H21" s="37" t="s">
        <v>157</v>
      </c>
    </row>
    <row r="22" spans="1:15">
      <c r="C22" s="40">
        <v>7</v>
      </c>
      <c r="D22" s="40">
        <v>9</v>
      </c>
      <c r="E22" s="118">
        <v>7734</v>
      </c>
      <c r="F22" s="99">
        <v>0.7</v>
      </c>
      <c r="G22" s="125">
        <f t="shared" si="1"/>
        <v>5413.7999999999993</v>
      </c>
      <c r="H22" s="37" t="s">
        <v>157</v>
      </c>
    </row>
    <row r="23" spans="1:15">
      <c r="C23" s="31"/>
      <c r="D23" s="40">
        <v>1</v>
      </c>
      <c r="E23" s="118">
        <v>3961.2</v>
      </c>
      <c r="F23" s="99">
        <v>0.7</v>
      </c>
      <c r="G23" s="125">
        <f t="shared" si="1"/>
        <v>2772.8399999999997</v>
      </c>
      <c r="H23" s="37" t="s">
        <v>157</v>
      </c>
    </row>
    <row r="24" spans="1:15">
      <c r="C24" s="31"/>
      <c r="D24" s="40">
        <v>2</v>
      </c>
      <c r="E24" s="118">
        <v>4204.8</v>
      </c>
      <c r="F24" s="99">
        <v>0.7</v>
      </c>
      <c r="G24" s="125">
        <f t="shared" si="1"/>
        <v>2943.36</v>
      </c>
      <c r="H24" s="37" t="s">
        <v>157</v>
      </c>
    </row>
    <row r="25" spans="1:15">
      <c r="C25" s="31"/>
      <c r="D25" s="40">
        <v>3</v>
      </c>
      <c r="E25" s="118">
        <v>6530.4</v>
      </c>
      <c r="F25" s="99">
        <v>0.7</v>
      </c>
      <c r="G25" s="125">
        <f t="shared" si="1"/>
        <v>4571.28</v>
      </c>
      <c r="H25" s="37" t="s">
        <v>157</v>
      </c>
    </row>
    <row r="26" spans="1:15" s="22" customFormat="1">
      <c r="A26"/>
      <c r="B26"/>
      <c r="C26" s="31"/>
      <c r="D26" s="40">
        <v>7</v>
      </c>
      <c r="E26" s="118">
        <v>7731.6</v>
      </c>
      <c r="F26" s="99">
        <v>0.7</v>
      </c>
      <c r="G26" s="125">
        <f t="shared" si="1"/>
        <v>5412.12</v>
      </c>
      <c r="H26" s="37" t="s">
        <v>157</v>
      </c>
      <c r="I26"/>
      <c r="J26"/>
      <c r="K26"/>
      <c r="L26"/>
      <c r="M26"/>
      <c r="N26"/>
      <c r="O26"/>
    </row>
    <row r="27" spans="1:15" s="22" customFormat="1">
      <c r="C27" s="31"/>
      <c r="D27" s="54"/>
      <c r="E27" s="54"/>
      <c r="F27" s="54"/>
      <c r="G27" s="125"/>
      <c r="H27" s="37"/>
    </row>
    <row r="28" spans="1:15">
      <c r="A28" s="22"/>
      <c r="D28" s="22"/>
      <c r="E28" s="31"/>
      <c r="F28" s="31" t="s">
        <v>260</v>
      </c>
      <c r="G28" s="31" t="s">
        <v>261</v>
      </c>
      <c r="H28" s="37"/>
      <c r="I28" s="22"/>
      <c r="J28" s="22"/>
      <c r="K28" s="22"/>
      <c r="L28" s="22"/>
      <c r="M28" s="22"/>
      <c r="N28" s="22"/>
      <c r="O28" s="22"/>
    </row>
    <row r="29" spans="1:15" s="22" customFormat="1" ht="15">
      <c r="A29"/>
      <c r="D29" s="101" t="s">
        <v>86</v>
      </c>
      <c r="E29" s="118">
        <v>1545.5</v>
      </c>
      <c r="F29" s="99">
        <v>0.7</v>
      </c>
      <c r="G29" s="125">
        <f>E29*F29</f>
        <v>1081.8499999999999</v>
      </c>
      <c r="H29" s="37" t="s">
        <v>157</v>
      </c>
      <c r="I29"/>
      <c r="J29"/>
      <c r="K29"/>
      <c r="L29"/>
      <c r="M29"/>
      <c r="N29"/>
      <c r="O29"/>
    </row>
    <row r="30" spans="1:15" s="22" customFormat="1" ht="15">
      <c r="B30" s="101"/>
      <c r="C30" s="54"/>
      <c r="D30" s="54"/>
      <c r="E30" s="125"/>
      <c r="F30" s="37"/>
    </row>
    <row r="31" spans="1:15" ht="15">
      <c r="C31" s="101" t="s">
        <v>73</v>
      </c>
      <c r="D31" s="31" t="s">
        <v>78</v>
      </c>
      <c r="E31" s="31" t="s">
        <v>66</v>
      </c>
      <c r="F31" s="31" t="s">
        <v>260</v>
      </c>
      <c r="G31" s="31" t="s">
        <v>261</v>
      </c>
      <c r="I31" s="38"/>
    </row>
    <row r="32" spans="1:15">
      <c r="D32" s="40">
        <v>1000</v>
      </c>
      <c r="E32" s="118">
        <v>500.4</v>
      </c>
      <c r="F32" s="99">
        <v>0.7</v>
      </c>
      <c r="G32" s="125">
        <f>E32*F32</f>
        <v>350.28</v>
      </c>
      <c r="H32" s="37" t="s">
        <v>157</v>
      </c>
      <c r="I32" s="27"/>
    </row>
    <row r="33" spans="1:15">
      <c r="D33" s="40">
        <v>1500</v>
      </c>
      <c r="E33" s="118">
        <v>616.79999999999995</v>
      </c>
      <c r="F33" s="99">
        <v>0.7</v>
      </c>
      <c r="G33" s="125">
        <f t="shared" ref="G33:G39" si="2">E33*F33</f>
        <v>431.75999999999993</v>
      </c>
      <c r="H33" s="37" t="s">
        <v>157</v>
      </c>
    </row>
    <row r="34" spans="1:15">
      <c r="D34" s="40">
        <v>3000</v>
      </c>
      <c r="E34" s="118">
        <v>696</v>
      </c>
      <c r="F34" s="99">
        <v>0.7</v>
      </c>
      <c r="G34" s="125">
        <f t="shared" si="2"/>
        <v>487.2</v>
      </c>
      <c r="H34" s="37" t="s">
        <v>157</v>
      </c>
    </row>
    <row r="35" spans="1:15">
      <c r="D35" s="40">
        <v>4000</v>
      </c>
      <c r="E35" s="118">
        <v>1687.2</v>
      </c>
      <c r="F35" s="99">
        <v>0.7</v>
      </c>
      <c r="G35" s="125">
        <f t="shared" si="2"/>
        <v>1181.04</v>
      </c>
      <c r="H35" s="37" t="s">
        <v>157</v>
      </c>
      <c r="J35" s="116"/>
      <c r="K35" s="22"/>
      <c r="L35" s="143"/>
    </row>
    <row r="36" spans="1:15">
      <c r="D36" s="40">
        <v>4500</v>
      </c>
      <c r="E36" s="118">
        <v>700.8</v>
      </c>
      <c r="F36" s="99">
        <v>0.7</v>
      </c>
      <c r="G36" s="125">
        <f t="shared" si="2"/>
        <v>490.55999999999995</v>
      </c>
      <c r="H36" s="37" t="s">
        <v>157</v>
      </c>
      <c r="J36" s="116"/>
      <c r="K36" s="22"/>
      <c r="L36" s="143"/>
    </row>
    <row r="37" spans="1:15">
      <c r="D37" s="40">
        <v>6000</v>
      </c>
      <c r="E37" s="118">
        <v>735.6</v>
      </c>
      <c r="F37" s="99">
        <v>0.7</v>
      </c>
      <c r="G37" s="125">
        <f t="shared" si="2"/>
        <v>514.91999999999996</v>
      </c>
      <c r="H37" s="37" t="s">
        <v>157</v>
      </c>
      <c r="J37" s="116"/>
      <c r="K37" s="22"/>
      <c r="L37" s="143"/>
    </row>
    <row r="38" spans="1:15">
      <c r="D38" s="40">
        <v>8000</v>
      </c>
      <c r="E38" s="118">
        <v>1935.6</v>
      </c>
      <c r="F38" s="99">
        <v>0.7</v>
      </c>
      <c r="G38" s="125">
        <f t="shared" si="2"/>
        <v>1354.9199999999998</v>
      </c>
      <c r="H38" s="37" t="s">
        <v>157</v>
      </c>
      <c r="J38" s="116"/>
      <c r="K38" s="22"/>
      <c r="L38" s="143"/>
    </row>
    <row r="39" spans="1:15" s="22" customFormat="1">
      <c r="A39"/>
      <c r="C39"/>
      <c r="D39" s="40">
        <v>9000</v>
      </c>
      <c r="E39" s="118">
        <v>820.8</v>
      </c>
      <c r="F39" s="99">
        <v>0.7</v>
      </c>
      <c r="G39" s="125">
        <f t="shared" si="2"/>
        <v>574.55999999999995</v>
      </c>
      <c r="H39" s="37" t="s">
        <v>157</v>
      </c>
      <c r="I39"/>
      <c r="J39" s="116"/>
      <c r="L39" s="143"/>
      <c r="M39"/>
      <c r="N39"/>
      <c r="O39"/>
    </row>
    <row r="40" spans="1:15" s="22" customFormat="1">
      <c r="C40" s="54"/>
      <c r="D40" s="54"/>
      <c r="E40" s="54"/>
      <c r="F40" s="125"/>
      <c r="G40" s="37"/>
      <c r="J40" s="223"/>
      <c r="L40" s="143"/>
    </row>
    <row r="41" spans="1:15">
      <c r="A41" s="22"/>
      <c r="D41" s="22"/>
      <c r="E41" s="54"/>
      <c r="F41" s="31" t="s">
        <v>260</v>
      </c>
      <c r="G41" s="31" t="s">
        <v>261</v>
      </c>
      <c r="H41" s="22"/>
      <c r="I41" s="22"/>
      <c r="J41" s="22"/>
      <c r="K41" s="22"/>
      <c r="L41" s="143"/>
      <c r="M41" s="22"/>
      <c r="N41" s="22"/>
      <c r="O41" s="22"/>
    </row>
    <row r="42" spans="1:15" s="22" customFormat="1" ht="15">
      <c r="A42"/>
      <c r="D42" s="101" t="s">
        <v>79</v>
      </c>
      <c r="E42" s="120">
        <v>13.2</v>
      </c>
      <c r="F42" s="99">
        <v>0.7</v>
      </c>
      <c r="G42" s="228">
        <f>E42*F42</f>
        <v>9.2399999999999984</v>
      </c>
      <c r="H42" s="102" t="s">
        <v>203</v>
      </c>
      <c r="I42"/>
      <c r="J42"/>
      <c r="L42" s="143"/>
      <c r="M42"/>
      <c r="N42"/>
      <c r="O42"/>
    </row>
    <row r="43" spans="1:15" ht="15">
      <c r="A43" s="22"/>
      <c r="D43" s="101"/>
      <c r="E43" s="54"/>
      <c r="F43" s="54"/>
      <c r="G43" s="125"/>
      <c r="H43" s="37"/>
      <c r="I43" s="22"/>
      <c r="J43" s="22"/>
      <c r="K43" s="22"/>
      <c r="L43" s="143"/>
      <c r="M43" s="22"/>
      <c r="N43" s="22"/>
      <c r="O43" s="22"/>
    </row>
    <row r="44" spans="1:15" s="22" customFormat="1" ht="15">
      <c r="A44"/>
      <c r="D44" s="101" t="s">
        <v>156</v>
      </c>
      <c r="E44" s="121">
        <v>8.1199999999999994E-2</v>
      </c>
      <c r="F44" s="99">
        <v>0.7</v>
      </c>
      <c r="G44" s="229">
        <f t="shared" ref="G44:G47" si="3">E44*F44</f>
        <v>5.6839999999999995E-2</v>
      </c>
      <c r="H44" s="37" t="s">
        <v>157</v>
      </c>
      <c r="I44"/>
      <c r="J44"/>
      <c r="L44" s="143"/>
      <c r="M44"/>
      <c r="N44"/>
      <c r="O44"/>
    </row>
    <row r="45" spans="1:15" ht="15">
      <c r="A45" s="22"/>
      <c r="D45" s="101"/>
      <c r="E45" s="54"/>
      <c r="F45" s="54"/>
      <c r="G45" s="125"/>
      <c r="H45" s="37"/>
      <c r="I45" s="22"/>
      <c r="J45" s="22"/>
      <c r="K45" s="22"/>
      <c r="L45" s="143"/>
      <c r="M45" s="22"/>
      <c r="N45" s="22"/>
      <c r="O45" s="22"/>
    </row>
    <row r="46" spans="1:15" ht="15">
      <c r="D46" s="101" t="s">
        <v>76</v>
      </c>
      <c r="E46" s="120">
        <v>22.8</v>
      </c>
      <c r="F46" s="99">
        <v>0.7</v>
      </c>
      <c r="G46" s="228">
        <f t="shared" si="3"/>
        <v>15.959999999999999</v>
      </c>
      <c r="H46" s="37" t="s">
        <v>157</v>
      </c>
      <c r="K46" s="22"/>
      <c r="L46" s="143"/>
    </row>
    <row r="47" spans="1:15" s="22" customFormat="1">
      <c r="A47"/>
      <c r="D47"/>
      <c r="E47" s="120">
        <v>54</v>
      </c>
      <c r="F47" s="99">
        <v>0.7</v>
      </c>
      <c r="G47" s="228">
        <f t="shared" si="3"/>
        <v>37.799999999999997</v>
      </c>
      <c r="H47" s="37" t="s">
        <v>157</v>
      </c>
      <c r="I47"/>
      <c r="J47"/>
      <c r="L47" s="143"/>
      <c r="M47"/>
      <c r="N47"/>
      <c r="O47"/>
    </row>
    <row r="48" spans="1:15" s="22" customFormat="1">
      <c r="E48" s="54"/>
      <c r="F48" s="37"/>
      <c r="L48" s="143"/>
    </row>
    <row r="49" spans="1:12" s="22" customFormat="1" ht="15.75">
      <c r="A49" s="4" t="s">
        <v>164</v>
      </c>
      <c r="B49"/>
      <c r="C49"/>
      <c r="D49"/>
      <c r="E49"/>
      <c r="F49"/>
      <c r="G49"/>
    </row>
    <row r="50" spans="1:12" s="22" customFormat="1">
      <c r="A50"/>
      <c r="B50" s="410" t="s">
        <v>301</v>
      </c>
      <c r="C50" s="410"/>
      <c r="D50" s="410"/>
      <c r="E50" s="398">
        <v>0.23</v>
      </c>
      <c r="F50" s="411" t="s">
        <v>300</v>
      </c>
      <c r="G50" s="411"/>
      <c r="H50" s="411"/>
      <c r="I50" s="411"/>
      <c r="J50" s="411"/>
    </row>
    <row r="51" spans="1:12" s="22" customFormat="1">
      <c r="C51" s="54"/>
      <c r="D51" s="37"/>
      <c r="F51" s="411"/>
      <c r="G51" s="411"/>
      <c r="H51" s="411"/>
      <c r="I51" s="411"/>
      <c r="J51" s="411"/>
    </row>
    <row r="52" spans="1:12" s="22" customFormat="1" ht="18" customHeight="1">
      <c r="A52" s="3"/>
      <c r="F52" s="405" t="s">
        <v>155</v>
      </c>
      <c r="G52" s="405" t="s">
        <v>158</v>
      </c>
      <c r="H52" s="405" t="s">
        <v>205</v>
      </c>
      <c r="I52" s="412" t="s">
        <v>262</v>
      </c>
      <c r="J52" s="412"/>
      <c r="K52" s="412"/>
      <c r="L52" s="412"/>
    </row>
    <row r="53" spans="1:12" s="22" customFormat="1" ht="15.75">
      <c r="A53" s="4" t="s">
        <v>350</v>
      </c>
      <c r="B53"/>
      <c r="C53" s="96" t="s">
        <v>92</v>
      </c>
      <c r="D53" s="96" t="s">
        <v>36</v>
      </c>
      <c r="E53" s="96" t="s">
        <v>154</v>
      </c>
      <c r="F53" s="406"/>
      <c r="G53" s="405"/>
      <c r="H53" s="405"/>
      <c r="I53" s="412"/>
      <c r="J53" s="412"/>
      <c r="K53" s="412"/>
      <c r="L53" s="412"/>
    </row>
    <row r="54" spans="1:12" s="22" customFormat="1" ht="15">
      <c r="A54" s="30" t="s">
        <v>34</v>
      </c>
      <c r="B54" s="28" t="s">
        <v>37</v>
      </c>
      <c r="C54" s="118">
        <v>10000</v>
      </c>
      <c r="D54" s="93">
        <v>1</v>
      </c>
      <c r="E54" s="93">
        <v>75</v>
      </c>
      <c r="F54" s="99">
        <v>0.26</v>
      </c>
      <c r="G54" s="40">
        <v>10</v>
      </c>
      <c r="H54" s="118">
        <v>2000</v>
      </c>
      <c r="I54" s="37" t="s">
        <v>211</v>
      </c>
      <c r="J54"/>
      <c r="K54"/>
      <c r="L54"/>
    </row>
    <row r="55" spans="1:12" s="22" customFormat="1">
      <c r="A55"/>
      <c r="B55" s="28" t="s">
        <v>38</v>
      </c>
      <c r="C55" s="118">
        <v>500</v>
      </c>
      <c r="D55" s="93">
        <v>1</v>
      </c>
      <c r="E55" s="93">
        <v>10</v>
      </c>
      <c r="F55" s="56"/>
      <c r="G55" s="40">
        <v>100</v>
      </c>
      <c r="H55" s="118">
        <v>500</v>
      </c>
      <c r="I55" s="37" t="s">
        <v>211</v>
      </c>
      <c r="J55"/>
      <c r="K55"/>
      <c r="L55"/>
    </row>
    <row r="56" spans="1:12" s="22" customFormat="1">
      <c r="A56"/>
      <c r="B56" s="28" t="s">
        <v>39</v>
      </c>
      <c r="C56" s="118">
        <v>500</v>
      </c>
      <c r="D56" s="93">
        <v>2</v>
      </c>
      <c r="E56" s="93">
        <v>10</v>
      </c>
      <c r="F56" s="56"/>
      <c r="G56" s="40">
        <v>100</v>
      </c>
      <c r="H56" s="118">
        <v>500</v>
      </c>
      <c r="I56" s="37" t="s">
        <v>211</v>
      </c>
      <c r="J56"/>
      <c r="K56"/>
      <c r="L56"/>
    </row>
    <row r="57" spans="1:12" s="22" customFormat="1">
      <c r="A57"/>
      <c r="B57"/>
      <c r="C57" s="27"/>
      <c r="D57" s="92"/>
      <c r="E57" s="56"/>
      <c r="F57" s="56"/>
      <c r="G57"/>
      <c r="H57"/>
      <c r="I57" s="37"/>
      <c r="J57"/>
      <c r="K57"/>
      <c r="L57"/>
    </row>
    <row r="58" spans="1:12" s="22" customFormat="1" ht="15">
      <c r="A58" s="30" t="s">
        <v>40</v>
      </c>
      <c r="B58" s="28" t="s">
        <v>37</v>
      </c>
      <c r="C58" s="118">
        <v>10000</v>
      </c>
      <c r="D58" s="93">
        <v>1</v>
      </c>
      <c r="E58" s="93">
        <v>75</v>
      </c>
      <c r="F58" s="99">
        <v>0.26</v>
      </c>
      <c r="G58" s="40">
        <v>10</v>
      </c>
      <c r="H58" s="118">
        <v>2000</v>
      </c>
      <c r="I58" s="37" t="s">
        <v>211</v>
      </c>
      <c r="J58"/>
      <c r="K58"/>
      <c r="L58"/>
    </row>
    <row r="59" spans="1:12" s="22" customFormat="1">
      <c r="A59" s="27"/>
      <c r="B59" s="28" t="s">
        <v>38</v>
      </c>
      <c r="C59" s="118">
        <v>500</v>
      </c>
      <c r="D59" s="93">
        <v>4</v>
      </c>
      <c r="E59" s="93">
        <v>10</v>
      </c>
      <c r="F59" s="56"/>
      <c r="G59" s="40">
        <v>100</v>
      </c>
      <c r="H59" s="118">
        <v>500</v>
      </c>
      <c r="I59" s="37" t="s">
        <v>211</v>
      </c>
      <c r="J59"/>
      <c r="K59"/>
      <c r="L59"/>
    </row>
    <row r="60" spans="1:12" s="22" customFormat="1">
      <c r="A60"/>
      <c r="B60" s="28" t="s">
        <v>41</v>
      </c>
      <c r="C60" s="118">
        <v>2000</v>
      </c>
      <c r="D60" s="93">
        <v>2</v>
      </c>
      <c r="E60" s="93">
        <v>20</v>
      </c>
      <c r="F60" s="56"/>
      <c r="G60" s="40">
        <v>50</v>
      </c>
      <c r="H60" s="118">
        <v>2000</v>
      </c>
      <c r="I60" s="37" t="s">
        <v>211</v>
      </c>
      <c r="J60"/>
      <c r="K60"/>
      <c r="L60"/>
    </row>
    <row r="61" spans="1:12" s="22" customFormat="1">
      <c r="A61"/>
      <c r="B61"/>
      <c r="C61"/>
      <c r="D61" s="92"/>
      <c r="E61" s="56"/>
      <c r="F61" s="56"/>
      <c r="G61"/>
      <c r="H61"/>
      <c r="I61" s="37"/>
      <c r="J61"/>
      <c r="K61"/>
      <c r="L61"/>
    </row>
    <row r="62" spans="1:12" s="22" customFormat="1" ht="15">
      <c r="A62" s="30" t="s">
        <v>42</v>
      </c>
      <c r="B62" s="28" t="s">
        <v>37</v>
      </c>
      <c r="C62" s="118">
        <v>25000</v>
      </c>
      <c r="D62" s="93">
        <v>1</v>
      </c>
      <c r="E62" s="93">
        <v>250</v>
      </c>
      <c r="F62" s="99">
        <v>0.52</v>
      </c>
      <c r="G62" s="93">
        <v>10</v>
      </c>
      <c r="H62" s="118">
        <v>5000</v>
      </c>
      <c r="I62" s="37" t="s">
        <v>211</v>
      </c>
      <c r="J62"/>
      <c r="K62"/>
      <c r="L62"/>
    </row>
    <row r="63" spans="1:12" s="22" customFormat="1">
      <c r="A63"/>
      <c r="B63" s="28" t="s">
        <v>38</v>
      </c>
      <c r="C63" s="118">
        <v>500</v>
      </c>
      <c r="D63" s="93">
        <v>16</v>
      </c>
      <c r="E63" s="93">
        <v>10</v>
      </c>
      <c r="F63" s="56"/>
      <c r="G63" s="93">
        <v>100</v>
      </c>
      <c r="H63" s="118">
        <v>500</v>
      </c>
      <c r="I63" s="37" t="s">
        <v>211</v>
      </c>
      <c r="J63"/>
      <c r="K63"/>
      <c r="L63"/>
    </row>
    <row r="64" spans="1:12" s="22" customFormat="1">
      <c r="A64"/>
      <c r="B64" s="28" t="s">
        <v>43</v>
      </c>
      <c r="C64" s="118">
        <v>5000</v>
      </c>
      <c r="D64" s="93">
        <v>2</v>
      </c>
      <c r="E64" s="93">
        <v>45</v>
      </c>
      <c r="F64" s="56"/>
      <c r="G64" s="93">
        <v>25</v>
      </c>
      <c r="H64" s="118">
        <v>5000</v>
      </c>
      <c r="I64" s="37" t="s">
        <v>211</v>
      </c>
      <c r="J64"/>
      <c r="K64"/>
      <c r="L64"/>
    </row>
    <row r="65" spans="1:12" s="22" customFormat="1">
      <c r="A65"/>
      <c r="B65"/>
      <c r="C65"/>
      <c r="D65" s="92"/>
      <c r="E65" s="56"/>
      <c r="F65" s="56"/>
      <c r="G65"/>
      <c r="H65"/>
      <c r="J65"/>
      <c r="K65"/>
      <c r="L65"/>
    </row>
    <row r="66" spans="1:12" s="22" customFormat="1" ht="15">
      <c r="A66" s="30" t="s">
        <v>44</v>
      </c>
      <c r="B66" s="27" t="s">
        <v>45</v>
      </c>
      <c r="C66" s="118">
        <v>2000</v>
      </c>
      <c r="D66" s="93">
        <v>1</v>
      </c>
      <c r="E66" s="93">
        <v>10</v>
      </c>
      <c r="F66" s="99">
        <v>0.04</v>
      </c>
      <c r="G66" s="93">
        <v>50</v>
      </c>
      <c r="H66" s="118">
        <v>2000</v>
      </c>
      <c r="I66" s="97" t="s">
        <v>212</v>
      </c>
      <c r="J66"/>
      <c r="K66"/>
      <c r="L66"/>
    </row>
    <row r="67" spans="1:12" s="22" customFormat="1" ht="15">
      <c r="A67"/>
      <c r="B67"/>
      <c r="C67" s="32"/>
      <c r="D67" s="92"/>
      <c r="E67" s="56"/>
      <c r="F67" s="56"/>
      <c r="G67"/>
      <c r="H67"/>
      <c r="I67" s="97"/>
      <c r="J67"/>
      <c r="K67"/>
      <c r="L67"/>
    </row>
    <row r="68" spans="1:12" s="22" customFormat="1" ht="15">
      <c r="A68" s="30" t="s">
        <v>46</v>
      </c>
      <c r="B68" s="27" t="s">
        <v>45</v>
      </c>
      <c r="C68" s="118">
        <v>3000</v>
      </c>
      <c r="D68" s="93">
        <v>1</v>
      </c>
      <c r="E68" s="93">
        <v>23</v>
      </c>
      <c r="F68" s="99">
        <v>0.2</v>
      </c>
      <c r="G68" s="93">
        <v>20</v>
      </c>
      <c r="H68" s="118">
        <v>3000</v>
      </c>
      <c r="I68" s="97" t="s">
        <v>212</v>
      </c>
      <c r="J68"/>
      <c r="K68"/>
      <c r="L68"/>
    </row>
    <row r="69" spans="1:12" s="22" customFormat="1">
      <c r="C69" s="54"/>
      <c r="D69" s="37"/>
    </row>
    <row r="70" spans="1:12" s="22" customFormat="1" ht="15.75">
      <c r="A70" s="4" t="s">
        <v>159</v>
      </c>
      <c r="B70"/>
      <c r="C70"/>
      <c r="D70"/>
      <c r="E70"/>
      <c r="F70"/>
      <c r="G70"/>
    </row>
    <row r="71" spans="1:12" s="22" customFormat="1">
      <c r="A71"/>
      <c r="B71"/>
      <c r="C71"/>
      <c r="D71"/>
      <c r="E71"/>
      <c r="F71"/>
      <c r="G71"/>
    </row>
    <row r="72" spans="1:12" s="22" customFormat="1">
      <c r="C72" s="34" t="s">
        <v>101</v>
      </c>
      <c r="D72" s="93">
        <v>4</v>
      </c>
      <c r="E72" s="37" t="s">
        <v>160</v>
      </c>
    </row>
    <row r="73" spans="1:12" s="22" customFormat="1">
      <c r="A73"/>
      <c r="B73"/>
      <c r="C73" s="34" t="s">
        <v>102</v>
      </c>
      <c r="D73" s="119">
        <v>50</v>
      </c>
      <c r="E73" s="37" t="s">
        <v>198</v>
      </c>
      <c r="F73"/>
      <c r="G73"/>
    </row>
    <row r="74" spans="1:12" s="22" customFormat="1">
      <c r="C74" s="48" t="s">
        <v>103</v>
      </c>
      <c r="D74" s="93">
        <v>42</v>
      </c>
      <c r="E74" s="37" t="s">
        <v>162</v>
      </c>
    </row>
    <row r="75" spans="1:12" s="22" customFormat="1">
      <c r="A75"/>
      <c r="B75"/>
      <c r="C75" s="48" t="s">
        <v>99</v>
      </c>
      <c r="D75" s="93">
        <v>4</v>
      </c>
      <c r="E75" s="140" t="s">
        <v>209</v>
      </c>
      <c r="F75"/>
      <c r="G75"/>
      <c r="K75" s="226"/>
    </row>
    <row r="76" spans="1:12" s="22" customFormat="1">
      <c r="C76" s="48" t="s">
        <v>275</v>
      </c>
      <c r="D76" s="360">
        <v>9.2999999999999999E-2</v>
      </c>
      <c r="E76" s="37" t="s">
        <v>151</v>
      </c>
      <c r="K76" s="226"/>
    </row>
    <row r="77" spans="1:12" s="22" customFormat="1">
      <c r="C77" s="48" t="s">
        <v>372</v>
      </c>
      <c r="D77" s="361">
        <v>4.07E-2</v>
      </c>
      <c r="E77" s="37" t="s">
        <v>162</v>
      </c>
    </row>
    <row r="78" spans="1:12" s="22" customFormat="1">
      <c r="C78" s="48" t="s">
        <v>373</v>
      </c>
      <c r="D78" s="361">
        <v>3.5799999999999998E-2</v>
      </c>
      <c r="E78" s="37" t="s">
        <v>162</v>
      </c>
    </row>
    <row r="79" spans="1:12" s="22" customFormat="1">
      <c r="A79"/>
      <c r="B79"/>
      <c r="C79"/>
      <c r="D79"/>
      <c r="E79"/>
      <c r="F79"/>
      <c r="G79"/>
    </row>
    <row r="80" spans="1:12" s="22" customFormat="1" ht="15.75">
      <c r="A80" s="4" t="s">
        <v>136</v>
      </c>
      <c r="B80"/>
      <c r="C80"/>
      <c r="D80"/>
      <c r="E80"/>
      <c r="F80"/>
      <c r="G80"/>
    </row>
    <row r="81" spans="1:16" s="22" customFormat="1">
      <c r="A81"/>
      <c r="B81"/>
      <c r="C81"/>
      <c r="D81"/>
      <c r="E81"/>
      <c r="F81"/>
      <c r="G81"/>
    </row>
    <row r="82" spans="1:16" s="22" customFormat="1">
      <c r="A82"/>
      <c r="B82"/>
      <c r="C82" s="34" t="s">
        <v>137</v>
      </c>
      <c r="D82" s="40">
        <v>1</v>
      </c>
      <c r="E82" s="140" t="s">
        <v>209</v>
      </c>
      <c r="F82"/>
      <c r="G82"/>
    </row>
    <row r="83" spans="1:16" s="22" customFormat="1">
      <c r="A83"/>
      <c r="B83"/>
      <c r="C83" s="34" t="s">
        <v>139</v>
      </c>
      <c r="D83" s="40">
        <v>4</v>
      </c>
      <c r="E83" s="140" t="s">
        <v>209</v>
      </c>
      <c r="F83"/>
      <c r="G83"/>
    </row>
    <row r="84" spans="1:16" s="22" customFormat="1">
      <c r="C84" s="34" t="s">
        <v>140</v>
      </c>
      <c r="D84" s="40">
        <v>7</v>
      </c>
      <c r="E84" s="140" t="s">
        <v>209</v>
      </c>
    </row>
    <row r="85" spans="1:16" s="22" customFormat="1">
      <c r="A85"/>
      <c r="B85"/>
      <c r="C85" s="34" t="s">
        <v>141</v>
      </c>
      <c r="D85" s="118">
        <v>50</v>
      </c>
      <c r="E85" s="140" t="s">
        <v>209</v>
      </c>
      <c r="F85"/>
      <c r="G85"/>
    </row>
    <row r="86" spans="1:16" s="22" customFormat="1">
      <c r="D86" s="94"/>
      <c r="E86" s="225"/>
    </row>
    <row r="87" spans="1:16" s="22" customFormat="1" ht="15.75">
      <c r="A87" s="4" t="s">
        <v>124</v>
      </c>
      <c r="B87" s="27"/>
      <c r="C87"/>
      <c r="D87" s="94"/>
      <c r="E87" s="225"/>
      <c r="F87"/>
      <c r="G87"/>
    </row>
    <row r="88" spans="1:16" s="22" customFormat="1" ht="15">
      <c r="A88" s="27"/>
      <c r="B88" s="38" t="s">
        <v>123</v>
      </c>
      <c r="C88" s="27"/>
      <c r="D88" s="94"/>
      <c r="E88" s="225"/>
      <c r="F88"/>
      <c r="G88"/>
    </row>
    <row r="89" spans="1:16" ht="12" customHeight="1">
      <c r="B89" s="27"/>
      <c r="C89" s="34" t="s">
        <v>125</v>
      </c>
      <c r="D89" s="40">
        <v>3</v>
      </c>
      <c r="E89" s="140" t="s">
        <v>209</v>
      </c>
      <c r="H89" s="22"/>
      <c r="I89" s="22"/>
      <c r="J89" s="22"/>
      <c r="K89" s="22"/>
      <c r="L89" s="22"/>
      <c r="M89" s="22"/>
      <c r="N89" s="22"/>
      <c r="O89" s="22"/>
      <c r="P89" s="22"/>
    </row>
    <row r="90" spans="1:16" ht="12" customHeight="1">
      <c r="B90" s="27"/>
      <c r="C90" s="34" t="s">
        <v>126</v>
      </c>
      <c r="D90" s="118">
        <v>100000</v>
      </c>
      <c r="E90" s="140" t="s">
        <v>209</v>
      </c>
      <c r="H90" s="22"/>
      <c r="I90" s="22"/>
      <c r="J90" s="22"/>
      <c r="K90" s="22"/>
      <c r="L90" s="22"/>
      <c r="M90" s="22"/>
      <c r="N90" s="22"/>
      <c r="O90" s="22"/>
    </row>
    <row r="92" spans="1:16" s="22" customFormat="1" ht="12" customHeight="1">
      <c r="A92" s="4" t="s">
        <v>169</v>
      </c>
      <c r="B92"/>
      <c r="C92"/>
      <c r="D92"/>
      <c r="E92"/>
      <c r="F92"/>
      <c r="G92"/>
      <c r="H92"/>
      <c r="I92"/>
      <c r="J92"/>
      <c r="K92"/>
      <c r="L92"/>
      <c r="M92"/>
      <c r="N92"/>
      <c r="O92"/>
      <c r="P92"/>
    </row>
    <row r="93" spans="1:16" s="22" customFormat="1" ht="15" customHeight="1">
      <c r="A93" s="4"/>
    </row>
    <row r="94" spans="1:16" s="22" customFormat="1" ht="12" customHeight="1">
      <c r="A94"/>
      <c r="B94" s="421" t="s">
        <v>170</v>
      </c>
      <c r="C94" s="421" t="s">
        <v>145</v>
      </c>
      <c r="D94" s="422" t="s">
        <v>237</v>
      </c>
      <c r="E94" s="107"/>
      <c r="F94" s="419" t="s">
        <v>148</v>
      </c>
      <c r="G94"/>
      <c r="H94"/>
      <c r="I94"/>
      <c r="J94"/>
      <c r="K94"/>
      <c r="L94"/>
      <c r="M94"/>
      <c r="N94"/>
      <c r="O94"/>
    </row>
    <row r="95" spans="1:16" s="22" customFormat="1">
      <c r="B95" s="421"/>
      <c r="C95" s="421"/>
      <c r="D95" s="422"/>
      <c r="E95" s="107"/>
      <c r="F95" s="419"/>
    </row>
    <row r="96" spans="1:16" s="22" customFormat="1">
      <c r="B96" s="246" t="s">
        <v>146</v>
      </c>
      <c r="C96" s="244">
        <v>4092</v>
      </c>
      <c r="D96" s="245">
        <v>103.31</v>
      </c>
      <c r="E96" s="418" t="s">
        <v>192</v>
      </c>
      <c r="F96" s="420"/>
      <c r="L96" s="115"/>
      <c r="M96" s="115"/>
      <c r="N96" s="142"/>
    </row>
    <row r="97" spans="2:15" s="22" customFormat="1">
      <c r="B97" s="246" t="s">
        <v>147</v>
      </c>
      <c r="C97" s="244">
        <v>8404</v>
      </c>
      <c r="D97" s="245">
        <v>175.63</v>
      </c>
      <c r="E97" s="418"/>
      <c r="F97" s="235">
        <v>4090000</v>
      </c>
      <c r="G97" s="162" t="s">
        <v>274</v>
      </c>
      <c r="L97" s="115"/>
      <c r="M97" s="115"/>
      <c r="N97" s="142"/>
    </row>
    <row r="98" spans="2:15" s="22" customFormat="1">
      <c r="B98" s="246" t="s">
        <v>149</v>
      </c>
      <c r="C98" s="244">
        <v>2</v>
      </c>
      <c r="D98" s="245">
        <v>888.47</v>
      </c>
      <c r="E98" s="418"/>
      <c r="M98" s="115"/>
      <c r="N98" s="142"/>
    </row>
    <row r="99" spans="2:15" s="22" customFormat="1">
      <c r="B99" s="246" t="s">
        <v>150</v>
      </c>
      <c r="C99" s="244">
        <v>1</v>
      </c>
      <c r="D99" s="245">
        <v>1652.96</v>
      </c>
      <c r="E99" s="418"/>
      <c r="I99" s="227"/>
      <c r="J99" s="227"/>
      <c r="K99" s="227"/>
      <c r="L99" s="227"/>
      <c r="M99" s="115"/>
      <c r="N99" s="142"/>
    </row>
    <row r="100" spans="2:15" s="22" customFormat="1">
      <c r="B100" s="27"/>
      <c r="C100" s="27"/>
      <c r="D100" s="27"/>
      <c r="E100" s="54"/>
      <c r="I100" s="141"/>
      <c r="J100" s="141"/>
      <c r="K100" s="141"/>
      <c r="L100" s="141"/>
      <c r="M100" s="115"/>
      <c r="N100" s="142"/>
    </row>
    <row r="101" spans="2:15" s="22" customFormat="1">
      <c r="B101" s="423" t="s">
        <v>238</v>
      </c>
      <c r="C101" s="424"/>
      <c r="D101" s="171" t="s">
        <v>173</v>
      </c>
      <c r="E101" s="418" t="s">
        <v>192</v>
      </c>
      <c r="M101" s="115"/>
      <c r="N101" s="142"/>
      <c r="O101" s="108"/>
    </row>
    <row r="102" spans="2:15" s="22" customFormat="1">
      <c r="B102" s="247" t="s">
        <v>34</v>
      </c>
      <c r="C102" s="383">
        <v>3435.27</v>
      </c>
      <c r="D102" s="207">
        <f>SUM(Summary!F77:F79)</f>
        <v>107</v>
      </c>
      <c r="E102" s="418"/>
      <c r="I102" s="227"/>
      <c r="J102" s="227"/>
      <c r="K102" s="227"/>
      <c r="L102" s="227"/>
      <c r="M102" s="115"/>
      <c r="N102" s="142"/>
      <c r="O102" s="108"/>
    </row>
    <row r="103" spans="2:15" s="22" customFormat="1">
      <c r="B103" s="247" t="s">
        <v>40</v>
      </c>
      <c r="C103" s="383">
        <v>5108.8100000000004</v>
      </c>
      <c r="D103" s="207">
        <f>SUM(Summary!F82:F84)</f>
        <v>562</v>
      </c>
      <c r="E103" s="418"/>
      <c r="I103" s="141"/>
      <c r="J103" s="141"/>
      <c r="K103" s="141"/>
      <c r="L103" s="141"/>
      <c r="M103" s="115"/>
      <c r="N103" s="142"/>
      <c r="O103" s="108"/>
    </row>
    <row r="104" spans="2:15" s="22" customFormat="1">
      <c r="B104" s="247" t="s">
        <v>42</v>
      </c>
      <c r="C104" s="383">
        <v>8151.42</v>
      </c>
      <c r="D104" s="207">
        <f>SUM(Summary!F86:F88)</f>
        <v>191</v>
      </c>
      <c r="E104" s="418"/>
      <c r="L104" s="115"/>
      <c r="M104" s="115"/>
      <c r="N104" s="142"/>
      <c r="O104" s="108"/>
    </row>
    <row r="105" spans="2:15" s="22" customFormat="1">
      <c r="B105" s="248" t="s">
        <v>172</v>
      </c>
      <c r="C105" s="384">
        <v>338.07</v>
      </c>
      <c r="D105" s="43"/>
      <c r="E105" s="418"/>
      <c r="M105" s="115"/>
      <c r="N105" s="110"/>
      <c r="O105" s="108"/>
    </row>
    <row r="106" spans="2:15" s="22" customFormat="1">
      <c r="B106" s="197"/>
      <c r="C106" s="272"/>
      <c r="D106" s="43"/>
      <c r="E106" s="249"/>
      <c r="M106" s="250"/>
      <c r="N106" s="110"/>
      <c r="O106" s="108"/>
    </row>
    <row r="107" spans="2:15" s="22" customFormat="1" ht="15" customHeight="1">
      <c r="B107" s="429" t="s">
        <v>293</v>
      </c>
      <c r="C107" s="430"/>
      <c r="D107" s="430"/>
      <c r="E107" s="431"/>
      <c r="F107" s="432" t="s">
        <v>295</v>
      </c>
      <c r="G107" s="433"/>
      <c r="H107" s="433"/>
      <c r="I107" s="433"/>
      <c r="J107" s="433"/>
      <c r="K107" s="433"/>
      <c r="M107" s="250"/>
      <c r="N107" s="110"/>
      <c r="O107" s="108"/>
    </row>
    <row r="108" spans="2:15" s="22" customFormat="1" ht="15">
      <c r="B108" s="87"/>
      <c r="C108" s="149" t="s">
        <v>34</v>
      </c>
      <c r="D108" s="149" t="s">
        <v>40</v>
      </c>
      <c r="E108" s="149" t="s">
        <v>42</v>
      </c>
      <c r="F108" s="432"/>
      <c r="G108" s="433"/>
      <c r="H108" s="433"/>
      <c r="I108" s="433"/>
      <c r="J108" s="433"/>
      <c r="K108" s="433"/>
      <c r="M108" s="250"/>
      <c r="N108" s="110"/>
      <c r="O108" s="108"/>
    </row>
    <row r="109" spans="2:15" s="22" customFormat="1">
      <c r="B109" s="164" t="s">
        <v>47</v>
      </c>
      <c r="C109" s="273">
        <v>439.39</v>
      </c>
      <c r="D109" s="273">
        <v>1079.1599999999999</v>
      </c>
      <c r="E109" s="273">
        <v>1988.12</v>
      </c>
      <c r="F109" s="432"/>
      <c r="G109" s="433"/>
      <c r="H109" s="433"/>
      <c r="I109" s="433"/>
      <c r="J109" s="433"/>
      <c r="K109" s="433"/>
      <c r="M109" s="250"/>
      <c r="N109" s="110"/>
      <c r="O109" s="108"/>
    </row>
    <row r="110" spans="2:15" s="22" customFormat="1">
      <c r="B110" s="164" t="s">
        <v>48</v>
      </c>
      <c r="C110" s="273">
        <v>186.86</v>
      </c>
      <c r="D110" s="273">
        <v>485.02</v>
      </c>
      <c r="E110" s="273">
        <v>1032.3800000000001</v>
      </c>
      <c r="F110" s="432"/>
      <c r="G110" s="433"/>
      <c r="H110" s="433"/>
      <c r="I110" s="433"/>
      <c r="J110" s="433"/>
      <c r="K110" s="433"/>
      <c r="M110" s="250"/>
      <c r="N110" s="110"/>
      <c r="O110" s="108"/>
    </row>
    <row r="111" spans="2:15" s="22" customFormat="1" ht="12" customHeight="1">
      <c r="B111" s="164" t="s">
        <v>49</v>
      </c>
      <c r="C111" s="273">
        <v>186.86</v>
      </c>
      <c r="D111" s="273">
        <v>486.84</v>
      </c>
      <c r="E111" s="273">
        <v>1036.26</v>
      </c>
      <c r="F111" s="428" t="s">
        <v>296</v>
      </c>
      <c r="G111" s="418"/>
      <c r="H111" s="418"/>
      <c r="I111" s="418"/>
      <c r="J111" s="418"/>
      <c r="K111" s="418"/>
      <c r="L111" s="418"/>
      <c r="M111" s="250"/>
      <c r="N111" s="110"/>
      <c r="O111" s="108"/>
    </row>
    <row r="112" spans="2:15" s="22" customFormat="1">
      <c r="B112" s="197"/>
      <c r="C112" s="272"/>
      <c r="D112" s="43"/>
      <c r="E112" s="249"/>
      <c r="M112" s="250"/>
      <c r="N112" s="110"/>
      <c r="O112" s="108"/>
    </row>
    <row r="113" spans="1:15" s="22" customFormat="1">
      <c r="D113" s="43"/>
      <c r="E113" s="43"/>
      <c r="F113" s="54"/>
      <c r="M113" s="115"/>
      <c r="N113" s="110"/>
      <c r="O113" s="108"/>
    </row>
    <row r="114" spans="1:15" s="22" customFormat="1" ht="15.75">
      <c r="A114" s="4" t="s">
        <v>239</v>
      </c>
      <c r="B114"/>
      <c r="C114"/>
      <c r="D114"/>
      <c r="E114"/>
      <c r="F114" s="54"/>
      <c r="M114" s="115"/>
      <c r="N114" s="110"/>
      <c r="O114" s="108"/>
    </row>
    <row r="115" spans="1:15" s="22" customFormat="1">
      <c r="A115"/>
      <c r="B115"/>
      <c r="C115" s="27"/>
      <c r="D115" s="27"/>
      <c r="E115" s="43"/>
      <c r="F115" s="54"/>
      <c r="M115" s="115"/>
      <c r="N115" s="110"/>
      <c r="O115" s="108"/>
    </row>
    <row r="116" spans="1:15" s="22" customFormat="1">
      <c r="B116"/>
      <c r="C116"/>
      <c r="D116" s="415" t="s">
        <v>240</v>
      </c>
      <c r="E116" s="425" t="s">
        <v>161</v>
      </c>
      <c r="F116" s="43"/>
    </row>
    <row r="117" spans="1:15" s="22" customFormat="1">
      <c r="D117" s="416"/>
      <c r="E117" s="426"/>
      <c r="F117" s="43"/>
    </row>
    <row r="118" spans="1:15" s="22" customFormat="1">
      <c r="B118" s="413" t="s">
        <v>241</v>
      </c>
      <c r="C118" s="414"/>
      <c r="D118" s="417"/>
      <c r="E118" s="427"/>
      <c r="F118" s="43"/>
      <c r="I118" s="223"/>
      <c r="J118" s="227"/>
    </row>
    <row r="119" spans="1:15" s="22" customFormat="1">
      <c r="B119" s="236" t="s">
        <v>34</v>
      </c>
      <c r="C119" s="237" t="s">
        <v>47</v>
      </c>
      <c r="D119" s="232">
        <v>96</v>
      </c>
      <c r="E119" s="233">
        <v>1.0999999999999999E-2</v>
      </c>
      <c r="F119" s="37" t="s">
        <v>162</v>
      </c>
      <c r="I119" s="223"/>
      <c r="J119" s="227"/>
    </row>
    <row r="120" spans="1:15" s="22" customFormat="1">
      <c r="B120" s="238"/>
      <c r="C120" s="179" t="s">
        <v>118</v>
      </c>
      <c r="D120" s="234">
        <v>0</v>
      </c>
      <c r="E120" s="233">
        <v>1.0999999999999999E-2</v>
      </c>
      <c r="F120" s="37" t="s">
        <v>162</v>
      </c>
      <c r="I120" s="223"/>
      <c r="J120" s="227"/>
    </row>
    <row r="121" spans="1:15" s="22" customFormat="1">
      <c r="B121" s="238"/>
      <c r="C121" s="179" t="s">
        <v>49</v>
      </c>
      <c r="D121" s="234">
        <v>12</v>
      </c>
      <c r="E121" s="233">
        <v>2.5000000000000001E-2</v>
      </c>
      <c r="F121" s="37" t="s">
        <v>162</v>
      </c>
      <c r="I121" s="223"/>
      <c r="J121" s="227"/>
    </row>
    <row r="122" spans="1:15" s="22" customFormat="1">
      <c r="B122" s="238"/>
      <c r="C122" s="179" t="s">
        <v>119</v>
      </c>
      <c r="D122" s="234">
        <v>26</v>
      </c>
      <c r="E122" s="233">
        <v>0.747</v>
      </c>
      <c r="F122" s="37" t="s">
        <v>162</v>
      </c>
      <c r="I122" s="223"/>
      <c r="J122" s="250"/>
      <c r="K122" s="123"/>
      <c r="L122" s="141"/>
    </row>
    <row r="123" spans="1:15" s="22" customFormat="1">
      <c r="B123" s="239"/>
      <c r="C123" s="240" t="s">
        <v>121</v>
      </c>
      <c r="D123" s="234">
        <v>505</v>
      </c>
      <c r="E123" s="233">
        <v>0.747</v>
      </c>
      <c r="F123" s="37" t="s">
        <v>162</v>
      </c>
      <c r="J123" s="250"/>
      <c r="K123" s="123"/>
      <c r="L123" s="141"/>
    </row>
    <row r="124" spans="1:15" s="22" customFormat="1">
      <c r="B124" s="238" t="s">
        <v>40</v>
      </c>
      <c r="C124" s="179" t="s">
        <v>47</v>
      </c>
      <c r="D124" s="234">
        <v>197</v>
      </c>
      <c r="E124" s="233">
        <v>1.0999999999999999E-2</v>
      </c>
      <c r="F124" s="37" t="s">
        <v>162</v>
      </c>
      <c r="J124" s="250"/>
      <c r="K124" s="123"/>
      <c r="L124" s="141"/>
    </row>
    <row r="125" spans="1:15" s="22" customFormat="1">
      <c r="B125" s="238"/>
      <c r="C125" s="179" t="s">
        <v>118</v>
      </c>
      <c r="D125" s="234">
        <v>61</v>
      </c>
      <c r="E125" s="233">
        <v>1.0999999999999999E-2</v>
      </c>
      <c r="F125" s="37" t="s">
        <v>162</v>
      </c>
      <c r="J125" s="250"/>
      <c r="K125" s="123"/>
      <c r="L125" s="141"/>
    </row>
    <row r="126" spans="1:15" s="22" customFormat="1">
      <c r="B126" s="238"/>
      <c r="C126" s="179" t="s">
        <v>49</v>
      </c>
      <c r="D126" s="234">
        <v>315</v>
      </c>
      <c r="E126" s="233">
        <v>2.5000000000000001E-2</v>
      </c>
      <c r="F126" s="37" t="s">
        <v>162</v>
      </c>
      <c r="I126" s="227"/>
      <c r="J126" s="227"/>
    </row>
    <row r="127" spans="1:15" s="22" customFormat="1">
      <c r="B127" s="239"/>
      <c r="C127" s="241" t="s">
        <v>119</v>
      </c>
      <c r="D127" s="234">
        <v>226</v>
      </c>
      <c r="E127" s="233">
        <v>0.747</v>
      </c>
      <c r="F127" s="37" t="s">
        <v>162</v>
      </c>
      <c r="I127" s="226"/>
      <c r="J127" s="226"/>
    </row>
    <row r="128" spans="1:15" s="22" customFormat="1">
      <c r="B128" s="236" t="s">
        <v>42</v>
      </c>
      <c r="C128" s="237" t="s">
        <v>47</v>
      </c>
      <c r="D128" s="234">
        <v>53</v>
      </c>
      <c r="E128" s="233">
        <v>1.0999999999999999E-2</v>
      </c>
      <c r="F128" s="37" t="s">
        <v>162</v>
      </c>
    </row>
    <row r="129" spans="1:16" s="22" customFormat="1">
      <c r="B129" s="238"/>
      <c r="C129" s="179" t="s">
        <v>118</v>
      </c>
      <c r="D129" s="234">
        <v>29</v>
      </c>
      <c r="E129" s="233">
        <v>1.0999999999999999E-2</v>
      </c>
      <c r="F129" s="37" t="s">
        <v>162</v>
      </c>
    </row>
    <row r="130" spans="1:16" s="22" customFormat="1">
      <c r="B130" s="238"/>
      <c r="C130" s="179" t="s">
        <v>49</v>
      </c>
      <c r="D130" s="234">
        <v>113</v>
      </c>
      <c r="E130" s="233">
        <v>2.5000000000000001E-2</v>
      </c>
      <c r="F130" s="37" t="s">
        <v>162</v>
      </c>
      <c r="I130" s="226"/>
    </row>
    <row r="131" spans="1:16" s="22" customFormat="1">
      <c r="B131" s="239"/>
      <c r="C131" s="241" t="s">
        <v>119</v>
      </c>
      <c r="D131" s="234">
        <v>49</v>
      </c>
      <c r="E131" s="233">
        <v>0.747</v>
      </c>
      <c r="F131" s="37" t="s">
        <v>162</v>
      </c>
      <c r="I131" s="143"/>
    </row>
    <row r="132" spans="1:16" s="22" customFormat="1">
      <c r="B132" s="242" t="s">
        <v>44</v>
      </c>
      <c r="C132" s="243"/>
      <c r="D132" s="234">
        <v>835</v>
      </c>
      <c r="E132" s="233">
        <v>0.14299999999999999</v>
      </c>
      <c r="F132" s="37" t="s">
        <v>162</v>
      </c>
    </row>
    <row r="133" spans="1:16">
      <c r="A133" s="22"/>
      <c r="B133" s="242" t="s">
        <v>46</v>
      </c>
      <c r="C133" s="243"/>
      <c r="D133" s="234">
        <v>1471</v>
      </c>
      <c r="E133" s="233">
        <v>0.188</v>
      </c>
      <c r="F133" s="37" t="s">
        <v>162</v>
      </c>
      <c r="G133" s="22"/>
      <c r="L133" s="22"/>
      <c r="M133" s="22"/>
      <c r="N133" s="22"/>
      <c r="O133" s="22"/>
      <c r="P133" s="22"/>
    </row>
    <row r="134" spans="1:16">
      <c r="A134" s="43"/>
      <c r="B134" s="43"/>
      <c r="C134" s="54"/>
      <c r="D134" s="54"/>
      <c r="E134" s="37"/>
      <c r="F134" s="22"/>
      <c r="G134" s="22"/>
      <c r="L134" s="22"/>
      <c r="M134" s="115"/>
      <c r="N134" s="110"/>
      <c r="O134" s="108"/>
      <c r="P134" s="22"/>
    </row>
    <row r="135" spans="1:16">
      <c r="A135" s="20"/>
      <c r="B135" s="20"/>
      <c r="C135" s="20"/>
      <c r="D135" s="20"/>
      <c r="E135" s="20"/>
      <c r="M135" s="106"/>
      <c r="N135" s="110"/>
      <c r="O135" s="108"/>
    </row>
    <row r="136" spans="1:16" ht="15.75">
      <c r="A136" s="288"/>
      <c r="B136" s="20"/>
      <c r="C136" s="20"/>
      <c r="D136" s="20"/>
      <c r="E136" s="20"/>
    </row>
    <row r="137" spans="1:16">
      <c r="A137" s="20"/>
      <c r="B137" s="394"/>
      <c r="C137" s="394"/>
      <c r="D137" s="395"/>
      <c r="E137" s="204"/>
      <c r="F137" s="20"/>
      <c r="G137" s="20"/>
      <c r="H137" s="20"/>
      <c r="I137" s="20"/>
      <c r="J137" s="20"/>
      <c r="K137" s="20"/>
      <c r="L137" s="20"/>
    </row>
    <row r="138" spans="1:16">
      <c r="A138" s="20"/>
      <c r="B138" s="394"/>
      <c r="C138" s="394"/>
      <c r="D138" s="395"/>
      <c r="E138" s="204"/>
      <c r="F138" s="20"/>
      <c r="G138" s="20"/>
      <c r="H138" s="20"/>
      <c r="I138" s="407"/>
      <c r="J138" s="407"/>
      <c r="K138" s="407"/>
      <c r="L138" s="407"/>
    </row>
    <row r="139" spans="1:16">
      <c r="A139" s="20"/>
      <c r="B139" s="394"/>
      <c r="C139" s="394"/>
      <c r="D139" s="395"/>
      <c r="E139" s="204"/>
      <c r="F139" s="20"/>
      <c r="G139" s="20"/>
      <c r="H139" s="20"/>
      <c r="I139" s="198"/>
      <c r="J139" s="206"/>
      <c r="K139" s="401"/>
      <c r="L139" s="20"/>
    </row>
    <row r="140" spans="1:16">
      <c r="A140" s="20"/>
      <c r="B140" s="394"/>
      <c r="C140" s="394"/>
      <c r="D140" s="395"/>
      <c r="E140" s="204"/>
      <c r="F140" s="20"/>
      <c r="G140" s="20"/>
      <c r="H140" s="112"/>
      <c r="I140" s="165"/>
      <c r="J140" s="165"/>
      <c r="K140" s="165"/>
      <c r="L140" s="165"/>
    </row>
    <row r="141" spans="1:16">
      <c r="A141" s="20"/>
      <c r="B141" s="197"/>
      <c r="C141" s="20"/>
      <c r="D141" s="20"/>
      <c r="E141" s="20"/>
      <c r="F141" s="20"/>
      <c r="G141" s="20"/>
      <c r="H141" s="112"/>
      <c r="I141" s="165"/>
      <c r="J141" s="165"/>
      <c r="K141" s="165"/>
      <c r="L141" s="165"/>
    </row>
    <row r="142" spans="1:16">
      <c r="A142" s="20"/>
      <c r="B142" s="20"/>
      <c r="C142" s="396"/>
      <c r="D142" s="396"/>
      <c r="E142" s="396"/>
      <c r="F142" s="396"/>
      <c r="G142" s="20"/>
      <c r="H142" s="112"/>
      <c r="I142" s="402"/>
      <c r="J142" s="402"/>
      <c r="K142" s="402"/>
      <c r="L142" s="402"/>
    </row>
    <row r="143" spans="1:16">
      <c r="A143" s="20"/>
      <c r="B143" s="20"/>
      <c r="C143" s="396"/>
      <c r="D143" s="396"/>
      <c r="E143" s="396"/>
      <c r="F143" s="396"/>
      <c r="G143" s="20"/>
      <c r="H143" s="112"/>
      <c r="I143" s="165"/>
      <c r="J143" s="165"/>
      <c r="K143" s="165"/>
      <c r="L143" s="165"/>
    </row>
    <row r="144" spans="1:16">
      <c r="C144" s="396"/>
      <c r="D144" s="396"/>
      <c r="E144" s="396"/>
      <c r="F144" s="396"/>
      <c r="G144" s="20"/>
      <c r="H144" s="112"/>
      <c r="I144" s="165"/>
      <c r="J144" s="165"/>
      <c r="K144" s="165"/>
      <c r="L144" s="165"/>
    </row>
    <row r="145" spans="3:12">
      <c r="C145" s="204"/>
      <c r="D145" s="204"/>
      <c r="E145" s="204"/>
      <c r="F145" s="204"/>
      <c r="G145" s="20"/>
      <c r="H145" s="112"/>
      <c r="I145" s="402"/>
      <c r="J145" s="402"/>
      <c r="K145" s="402"/>
      <c r="L145" s="402"/>
    </row>
    <row r="146" spans="3:12">
      <c r="C146" s="20"/>
      <c r="D146" s="20"/>
      <c r="E146" s="20"/>
      <c r="F146" s="20"/>
      <c r="G146" s="20"/>
      <c r="H146" s="20"/>
      <c r="I146" s="399"/>
      <c r="J146" s="399"/>
      <c r="K146" s="399"/>
      <c r="L146" s="399"/>
    </row>
    <row r="147" spans="3:12">
      <c r="C147" s="396"/>
      <c r="D147" s="396"/>
      <c r="E147" s="396"/>
      <c r="F147" s="396"/>
    </row>
    <row r="148" spans="3:12">
      <c r="C148" s="396"/>
      <c r="D148" s="396"/>
      <c r="E148" s="396"/>
      <c r="F148" s="396"/>
    </row>
    <row r="149" spans="3:12">
      <c r="C149" s="395"/>
      <c r="D149" s="395"/>
      <c r="E149" s="395"/>
      <c r="F149" s="395"/>
    </row>
    <row r="150" spans="3:12">
      <c r="C150" s="397"/>
      <c r="D150" s="397"/>
      <c r="E150" s="397"/>
      <c r="F150" s="397"/>
    </row>
  </sheetData>
  <mergeCells count="22">
    <mergeCell ref="B101:C101"/>
    <mergeCell ref="E116:E118"/>
    <mergeCell ref="E96:E99"/>
    <mergeCell ref="F111:L111"/>
    <mergeCell ref="B107:E107"/>
    <mergeCell ref="F107:K110"/>
    <mergeCell ref="F52:F53"/>
    <mergeCell ref="G52:G53"/>
    <mergeCell ref="I138:L138"/>
    <mergeCell ref="H4:L5"/>
    <mergeCell ref="H52:H53"/>
    <mergeCell ref="C14:H15"/>
    <mergeCell ref="B50:D50"/>
    <mergeCell ref="F50:J51"/>
    <mergeCell ref="I52:L53"/>
    <mergeCell ref="B118:C118"/>
    <mergeCell ref="D116:D118"/>
    <mergeCell ref="E101:E105"/>
    <mergeCell ref="F94:F96"/>
    <mergeCell ref="B94:B95"/>
    <mergeCell ref="C94:C95"/>
    <mergeCell ref="D94:D95"/>
  </mergeCells>
  <hyperlinks>
    <hyperlink ref="C14" r:id="rId1"/>
    <hyperlink ref="H4" r:id="rId2" display="http://www.openreach.co.uk/orpg/home/products/pricing/loadProductPriceDetails.do?data=ZdqG%2Fxv%2FjSuBEEITnogh5uNOEwQ2%2FKws5WBAVcIlcholMnGHsqdC0vzO163bJmh34D91D7M0q8u%2F%0AIlSgtIFAKw%3D%3D"/>
    <hyperlink ref="F107" r:id="rId3" display="http://www.btwholesale.com/pages/cmsjsps/service_and_support/service_support_hub/online_pricing_hub/cpl_hub/cpl_pricing_hub/cpl_browsable_sections/cpl_browsable_sectionb_8.jsp"/>
  </hyperlinks>
  <pageMargins left="0.70866141732283472" right="0.70866141732283472" top="0.74803149606299213" bottom="1.4173228346456694" header="0.31496062992125984" footer="0.31496062992125984"/>
  <pageSetup paperSize="9" scale="65" fitToHeight="2" orientation="portrait" verticalDpi="200" r:id="rId4"/>
  <headerFooter>
    <oddHeader>&amp;C&amp;F</oddHeader>
    <oddFooter>&amp;L&amp;A :page &amp;P&amp;COfcom&amp;R&amp;D</oddFooter>
  </headerFooter>
  <legacyDrawing r:id="rId5"/>
</worksheet>
</file>

<file path=xl/worksheets/sheet4.xml><?xml version="1.0" encoding="utf-8"?>
<worksheet xmlns="http://schemas.openxmlformats.org/spreadsheetml/2006/main" xmlns:r="http://schemas.openxmlformats.org/officeDocument/2006/relationships">
  <sheetPr codeName="Sheet5">
    <pageSetUpPr fitToPage="1"/>
  </sheetPr>
  <dimension ref="A1:W84"/>
  <sheetViews>
    <sheetView workbookViewId="0">
      <selection activeCell="A2" sqref="A2"/>
    </sheetView>
  </sheetViews>
  <sheetFormatPr defaultRowHeight="12"/>
  <cols>
    <col min="1" max="1" width="3.42578125" style="22" customWidth="1"/>
    <col min="2" max="2" width="23.42578125" customWidth="1"/>
    <col min="3" max="6" width="12.7109375" customWidth="1"/>
    <col min="7" max="7" width="8.140625" bestFit="1" customWidth="1"/>
    <col min="8" max="10" width="10.7109375" customWidth="1"/>
    <col min="11" max="11" width="11" bestFit="1" customWidth="1"/>
    <col min="12" max="19" width="8.7109375" customWidth="1"/>
    <col min="20" max="20" width="9.85546875" bestFit="1" customWidth="1"/>
  </cols>
  <sheetData>
    <row r="1" spans="1:23" ht="40.5" customHeight="1">
      <c r="A1" s="3" t="s">
        <v>163</v>
      </c>
      <c r="B1" s="22"/>
      <c r="C1" s="22"/>
      <c r="D1" s="22"/>
      <c r="E1" s="22"/>
      <c r="F1" s="22"/>
      <c r="G1" s="22"/>
      <c r="H1" s="22"/>
      <c r="I1" s="22"/>
      <c r="J1" s="22"/>
      <c r="K1" s="22"/>
      <c r="L1" s="22"/>
      <c r="M1" s="109"/>
      <c r="N1" s="22"/>
      <c r="O1" s="88"/>
      <c r="P1" s="22"/>
      <c r="Q1" s="22"/>
      <c r="R1" s="22"/>
      <c r="S1" s="22"/>
      <c r="T1" s="22"/>
      <c r="U1" s="22"/>
      <c r="V1" s="22"/>
      <c r="W1" s="22"/>
    </row>
    <row r="2" spans="1:23" ht="12" customHeight="1">
      <c r="A2" s="162" t="s">
        <v>213</v>
      </c>
      <c r="B2" s="22"/>
      <c r="D2" s="22"/>
      <c r="E2" s="22"/>
      <c r="F2" s="22"/>
      <c r="G2" s="22"/>
      <c r="H2" s="122"/>
      <c r="I2" s="411" t="s">
        <v>297</v>
      </c>
      <c r="J2" s="411"/>
      <c r="K2" s="411"/>
      <c r="L2" s="411"/>
      <c r="M2" s="411"/>
      <c r="N2" s="411"/>
      <c r="O2" s="411"/>
      <c r="P2" s="411"/>
      <c r="Q2" s="411"/>
      <c r="R2" s="22"/>
      <c r="S2" s="22"/>
      <c r="T2" s="22"/>
      <c r="U2" s="22"/>
      <c r="V2" s="22"/>
      <c r="W2" s="22"/>
    </row>
    <row r="3" spans="1:23" s="22" customFormat="1" ht="12.75" thickBot="1">
      <c r="A3" s="162"/>
      <c r="H3" s="122"/>
      <c r="I3" s="411"/>
      <c r="J3" s="411"/>
      <c r="K3" s="411"/>
      <c r="L3" s="411"/>
      <c r="M3" s="411"/>
      <c r="N3" s="411"/>
      <c r="O3" s="411"/>
      <c r="P3" s="411"/>
      <c r="Q3" s="411"/>
    </row>
    <row r="4" spans="1:23" s="22" customFormat="1" ht="15.75" thickBot="1">
      <c r="A4" s="162"/>
      <c r="B4" s="454" t="s">
        <v>225</v>
      </c>
      <c r="C4" s="455"/>
      <c r="D4" s="455"/>
      <c r="E4" s="455"/>
      <c r="F4" s="456"/>
      <c r="H4" s="27"/>
      <c r="I4" s="27"/>
      <c r="J4" s="27"/>
      <c r="K4" s="441" t="s">
        <v>49</v>
      </c>
      <c r="L4" s="441"/>
      <c r="M4" s="441"/>
      <c r="N4" s="441" t="s">
        <v>48</v>
      </c>
      <c r="O4" s="441"/>
      <c r="P4" s="441"/>
      <c r="Q4" s="441" t="s">
        <v>47</v>
      </c>
      <c r="R4" s="441"/>
      <c r="S4" s="441"/>
    </row>
    <row r="5" spans="1:23" s="22" customFormat="1" ht="24" customHeight="1">
      <c r="A5" s="162"/>
      <c r="B5" s="457" t="s">
        <v>243</v>
      </c>
      <c r="C5" s="214" t="s">
        <v>34</v>
      </c>
      <c r="D5" s="214" t="s">
        <v>40</v>
      </c>
      <c r="E5" s="214" t="s">
        <v>42</v>
      </c>
      <c r="F5" s="215" t="s">
        <v>171</v>
      </c>
      <c r="H5" s="267"/>
      <c r="I5" s="267"/>
      <c r="J5" s="267"/>
      <c r="K5" s="268" t="s">
        <v>34</v>
      </c>
      <c r="L5" s="268" t="s">
        <v>40</v>
      </c>
      <c r="M5" s="268" t="s">
        <v>42</v>
      </c>
      <c r="N5" s="268" t="s">
        <v>34</v>
      </c>
      <c r="O5" s="268" t="s">
        <v>40</v>
      </c>
      <c r="P5" s="268" t="s">
        <v>42</v>
      </c>
      <c r="Q5" s="268" t="s">
        <v>34</v>
      </c>
      <c r="R5" s="268" t="s">
        <v>40</v>
      </c>
      <c r="S5" s="268" t="s">
        <v>42</v>
      </c>
    </row>
    <row r="6" spans="1:23" s="22" customFormat="1" ht="12.75" customHeight="1" thickBot="1">
      <c r="A6" s="162"/>
      <c r="B6" s="458"/>
      <c r="C6" s="379">
        <f>Inputs!C102</f>
        <v>3435.27</v>
      </c>
      <c r="D6" s="379">
        <f>Inputs!C103</f>
        <v>5108.8100000000004</v>
      </c>
      <c r="E6" s="379">
        <f>Inputs!C104</f>
        <v>8151.42</v>
      </c>
      <c r="F6" s="380">
        <f>Inputs!C105</f>
        <v>338.07</v>
      </c>
      <c r="H6" s="442" t="s">
        <v>291</v>
      </c>
      <c r="I6" s="442"/>
      <c r="J6" s="442"/>
      <c r="K6" s="269">
        <f>(C6+$L$39)/63</f>
        <v>57.494126984126986</v>
      </c>
      <c r="L6" s="269">
        <f>(D6+$M$39)/252</f>
        <v>22.204960317460319</v>
      </c>
      <c r="M6" s="269">
        <f>(E6+$N$39)/1008</f>
        <v>9.1147619047619042</v>
      </c>
      <c r="N6" s="269">
        <f>(C6+F6+$L$38)/63</f>
        <v>62.860317460317468</v>
      </c>
      <c r="O6" s="269">
        <f>(D6+F6+$M$38)/252</f>
        <v>23.539285714285715</v>
      </c>
      <c r="P6" s="269">
        <f>(E6+F6+$N$38)/1008</f>
        <v>9.4462996031746016</v>
      </c>
      <c r="Q6" s="269">
        <f>(C6+F6+$L$37)/63</f>
        <v>66.868730158730173</v>
      </c>
      <c r="R6" s="269">
        <f>(D6+F6+$M$37)/252</f>
        <v>25.896984126984126</v>
      </c>
      <c r="S6" s="269">
        <f>(E6+F6+$N$37)/1008</f>
        <v>10.394454365079365</v>
      </c>
    </row>
    <row r="7" spans="1:23" s="22" customFormat="1" ht="12.75" customHeight="1">
      <c r="A7" s="162"/>
      <c r="B7" s="457" t="s">
        <v>242</v>
      </c>
      <c r="C7" s="214" t="s">
        <v>174</v>
      </c>
      <c r="D7" s="214" t="s">
        <v>147</v>
      </c>
      <c r="E7" s="214" t="s">
        <v>175</v>
      </c>
      <c r="F7" s="216" t="s">
        <v>150</v>
      </c>
      <c r="H7" s="442" t="s">
        <v>292</v>
      </c>
      <c r="I7" s="442"/>
      <c r="J7" s="442"/>
      <c r="K7" s="270">
        <f>(C6+$L$39)/D8</f>
        <v>20.623640608096569</v>
      </c>
      <c r="L7" s="270">
        <f>(D6+$M$39)/D8</f>
        <v>31.860445254227642</v>
      </c>
      <c r="M7" s="270">
        <f>(E6+$N$39)/D8</f>
        <v>52.312702841200256</v>
      </c>
      <c r="N7" s="270">
        <f>(C6+$L$39+F6)/D8</f>
        <v>22.548539543358199</v>
      </c>
      <c r="O7" s="270">
        <f>(D6+$M$39+F6)/D8</f>
        <v>33.785344189489273</v>
      </c>
      <c r="P7" s="270">
        <f>(E6+$N$39+F6)/D8</f>
        <v>54.237601776461879</v>
      </c>
      <c r="Q7" s="270">
        <f>(C6+$L$37+F6)/D8</f>
        <v>23.986391846495472</v>
      </c>
      <c r="R7" s="270">
        <f>(D6+$M$37+F6)/D8</f>
        <v>37.157888743380973</v>
      </c>
      <c r="S7" s="270">
        <f>(E6+$N$37+F6)/D8</f>
        <v>59.657290895632869</v>
      </c>
    </row>
    <row r="8" spans="1:23" s="22" customFormat="1" ht="12.75" thickBot="1">
      <c r="A8" s="162"/>
      <c r="B8" s="458"/>
      <c r="C8" s="379">
        <f>Inputs!D96</f>
        <v>103.31</v>
      </c>
      <c r="D8" s="379">
        <f>Inputs!D97</f>
        <v>175.63</v>
      </c>
      <c r="E8" s="379">
        <f>Inputs!D98</f>
        <v>888.47</v>
      </c>
      <c r="F8" s="380">
        <f>Inputs!D99</f>
        <v>1652.96</v>
      </c>
      <c r="H8" s="27"/>
      <c r="I8" s="27"/>
      <c r="J8" s="27"/>
      <c r="K8" s="27"/>
      <c r="L8" s="27"/>
      <c r="M8" s="27"/>
      <c r="N8" s="27"/>
      <c r="O8" s="27"/>
      <c r="P8" s="27"/>
      <c r="Q8" s="27"/>
      <c r="R8" s="27"/>
      <c r="S8" s="27"/>
    </row>
    <row r="9" spans="1:23" s="22" customFormat="1" ht="12.75" thickBot="1">
      <c r="A9" s="162"/>
      <c r="C9" s="141"/>
      <c r="D9" s="141"/>
      <c r="E9" s="141"/>
      <c r="F9" s="92"/>
      <c r="H9" s="27"/>
      <c r="I9" s="27"/>
      <c r="J9" s="27"/>
      <c r="K9" s="27"/>
      <c r="L9" s="27"/>
      <c r="M9" s="27"/>
      <c r="N9" s="27"/>
      <c r="O9" s="27"/>
      <c r="P9" s="27"/>
      <c r="Q9" s="27"/>
      <c r="R9" s="27"/>
      <c r="S9" s="27"/>
    </row>
    <row r="10" spans="1:23" ht="15.75" thickBot="1">
      <c r="B10" s="443" t="s">
        <v>377</v>
      </c>
      <c r="C10" s="444"/>
      <c r="D10" s="444"/>
      <c r="E10" s="444"/>
      <c r="F10" s="445"/>
      <c r="G10" s="22"/>
      <c r="H10" s="27"/>
      <c r="I10" s="27"/>
      <c r="J10" s="27"/>
      <c r="K10" s="441" t="s">
        <v>49</v>
      </c>
      <c r="L10" s="441"/>
      <c r="M10" s="441"/>
      <c r="N10" s="441" t="s">
        <v>48</v>
      </c>
      <c r="O10" s="441"/>
      <c r="P10" s="441"/>
      <c r="Q10" s="441" t="s">
        <v>47</v>
      </c>
      <c r="R10" s="441"/>
      <c r="S10" s="441"/>
      <c r="T10" s="22"/>
    </row>
    <row r="11" spans="1:23" ht="15">
      <c r="B11" s="446" t="s">
        <v>243</v>
      </c>
      <c r="C11" s="208" t="s">
        <v>34</v>
      </c>
      <c r="D11" s="208" t="s">
        <v>40</v>
      </c>
      <c r="E11" s="208" t="s">
        <v>42</v>
      </c>
      <c r="F11" s="209" t="s">
        <v>171</v>
      </c>
      <c r="G11" s="22"/>
      <c r="H11" s="27"/>
      <c r="I11" s="27"/>
      <c r="J11" s="27"/>
      <c r="K11" s="268" t="s">
        <v>34</v>
      </c>
      <c r="L11" s="268" t="s">
        <v>40</v>
      </c>
      <c r="M11" s="268" t="s">
        <v>42</v>
      </c>
      <c r="N11" s="268" t="s">
        <v>34</v>
      </c>
      <c r="O11" s="268" t="s">
        <v>40</v>
      </c>
      <c r="P11" s="268" t="s">
        <v>42</v>
      </c>
      <c r="Q11" s="268" t="s">
        <v>34</v>
      </c>
      <c r="R11" s="268" t="s">
        <v>40</v>
      </c>
      <c r="S11" s="268" t="s">
        <v>42</v>
      </c>
      <c r="T11" s="22"/>
    </row>
    <row r="12" spans="1:23" ht="15.75" thickBot="1">
      <c r="B12" s="447"/>
      <c r="C12" s="379">
        <f>C52</f>
        <v>1213.7756698237965</v>
      </c>
      <c r="D12" s="379">
        <f t="shared" ref="D12:E12" si="0">D52</f>
        <v>1805.0835246581812</v>
      </c>
      <c r="E12" s="379">
        <f t="shared" si="0"/>
        <v>2880.1215830240685</v>
      </c>
      <c r="F12" s="380">
        <f>'Duct and fibre costs'!D18</f>
        <v>400.60520870536209</v>
      </c>
      <c r="G12" s="22"/>
      <c r="H12" s="442" t="s">
        <v>382</v>
      </c>
      <c r="I12" s="442"/>
      <c r="J12" s="442"/>
      <c r="K12" s="269">
        <f>(C12+$L$39)/63</f>
        <v>22.232312219425339</v>
      </c>
      <c r="L12" s="269">
        <f>(D12+$M$39)/252</f>
        <v>9.0949346216594495</v>
      </c>
      <c r="M12" s="269">
        <f>(E12+$N$39)/1008</f>
        <v>3.8852991895080042</v>
      </c>
      <c r="N12" s="269">
        <f>(C12+F12+$L$38)/63</f>
        <v>28.591125056018392</v>
      </c>
      <c r="O12" s="269">
        <f>(D12+F12+$M$38)/252</f>
        <v>10.677415608585489</v>
      </c>
      <c r="P12" s="269">
        <f>(E12+F12+$N$38)/1008</f>
        <v>4.2788757854458641</v>
      </c>
      <c r="Q12" s="269">
        <f>(C12+F12+$L$37)/63</f>
        <v>32.599537754431083</v>
      </c>
      <c r="R12" s="269">
        <f>(D12+F12+$M$37)/252</f>
        <v>13.035114021283901</v>
      </c>
      <c r="S12" s="269">
        <f>(E12+F12+$N$37)/1008</f>
        <v>5.2270305473506262</v>
      </c>
      <c r="T12" s="22"/>
    </row>
    <row r="13" spans="1:23" ht="15">
      <c r="B13" s="446" t="s">
        <v>242</v>
      </c>
      <c r="C13" s="208" t="s">
        <v>174</v>
      </c>
      <c r="D13" s="208" t="s">
        <v>147</v>
      </c>
      <c r="E13" s="208" t="s">
        <v>175</v>
      </c>
      <c r="F13" s="212" t="s">
        <v>150</v>
      </c>
      <c r="G13" s="22"/>
      <c r="H13" s="442" t="s">
        <v>383</v>
      </c>
      <c r="I13" s="442"/>
      <c r="J13" s="442"/>
      <c r="K13" s="270">
        <f>(C12+$L$39)/D14</f>
        <v>7.9749226773546456</v>
      </c>
      <c r="L13" s="270">
        <f>(D12+$M$39)/D14</f>
        <v>13.049726838570752</v>
      </c>
      <c r="M13" s="270">
        <f>(E12+$N$39)/D14</f>
        <v>22.29904676321852</v>
      </c>
      <c r="N13" s="270">
        <f>(C12+$L$39+F12)/D14</f>
        <v>10.255883838348566</v>
      </c>
      <c r="O13" s="270">
        <f>(D12+$M$39+F12)/D14</f>
        <v>15.330687999564672</v>
      </c>
      <c r="P13" s="270">
        <f>(E12+$N$39+F12)/D14</f>
        <v>24.580007924212438</v>
      </c>
      <c r="Q13" s="270">
        <f>(C12+$L$37+F12)/D14</f>
        <v>11.693736141485845</v>
      </c>
      <c r="R13" s="270">
        <f>(D12+$M$37+F12)/D14</f>
        <v>18.703232553456374</v>
      </c>
      <c r="S13" s="270">
        <f>(E12+$N$37+F12)/D14</f>
        <v>29.999697043383421</v>
      </c>
      <c r="T13" s="22"/>
      <c r="U13" s="22"/>
      <c r="V13" s="22"/>
      <c r="W13" s="22"/>
    </row>
    <row r="14" spans="1:23" ht="12.75" thickBot="1">
      <c r="B14" s="447"/>
      <c r="C14" s="379">
        <f>Inputs!D96</f>
        <v>103.31</v>
      </c>
      <c r="D14" s="379">
        <f>Inputs!D97</f>
        <v>175.63</v>
      </c>
      <c r="E14" s="379">
        <f>Inputs!D98</f>
        <v>888.47</v>
      </c>
      <c r="F14" s="380">
        <f>Inputs!D99</f>
        <v>1652.96</v>
      </c>
      <c r="G14" s="22"/>
      <c r="H14" s="27"/>
      <c r="I14" s="27"/>
      <c r="J14" s="27"/>
      <c r="K14" s="27"/>
      <c r="L14" s="27"/>
      <c r="M14" s="27"/>
      <c r="N14" s="27"/>
      <c r="O14" s="27"/>
      <c r="P14" s="27"/>
      <c r="Q14" s="27"/>
      <c r="R14" s="27"/>
      <c r="S14" s="27"/>
      <c r="T14" s="22"/>
      <c r="U14" s="22"/>
      <c r="V14" s="22"/>
      <c r="W14" s="22"/>
    </row>
    <row r="15" spans="1:23" ht="12.75" thickBot="1">
      <c r="B15" s="22"/>
      <c r="F15" s="22"/>
      <c r="G15" s="22"/>
      <c r="H15" s="27"/>
      <c r="I15" s="27"/>
      <c r="J15" s="27"/>
      <c r="K15" s="27"/>
      <c r="L15" s="27"/>
      <c r="M15" s="27"/>
      <c r="N15" s="27"/>
      <c r="O15" s="27"/>
      <c r="P15" s="27"/>
      <c r="Q15" s="27"/>
      <c r="R15" s="27"/>
      <c r="S15" s="27"/>
      <c r="T15" s="22"/>
      <c r="U15" s="22"/>
      <c r="V15" s="22"/>
      <c r="W15" s="22"/>
    </row>
    <row r="16" spans="1:23" ht="15.75" thickBot="1">
      <c r="B16" s="443" t="s">
        <v>378</v>
      </c>
      <c r="C16" s="444"/>
      <c r="D16" s="444"/>
      <c r="E16" s="444"/>
      <c r="F16" s="445"/>
      <c r="G16" s="22"/>
      <c r="H16" s="27"/>
      <c r="I16" s="27"/>
      <c r="J16" s="27"/>
      <c r="K16" s="441" t="s">
        <v>49</v>
      </c>
      <c r="L16" s="441"/>
      <c r="M16" s="441"/>
      <c r="N16" s="441" t="s">
        <v>48</v>
      </c>
      <c r="O16" s="441"/>
      <c r="P16" s="441"/>
      <c r="Q16" s="441" t="s">
        <v>47</v>
      </c>
      <c r="R16" s="441"/>
      <c r="S16" s="441"/>
      <c r="T16" s="22"/>
      <c r="U16" s="22"/>
      <c r="V16" s="22"/>
      <c r="W16" s="22"/>
    </row>
    <row r="17" spans="2:23" ht="15">
      <c r="B17" s="446" t="s">
        <v>243</v>
      </c>
      <c r="C17" s="208" t="s">
        <v>34</v>
      </c>
      <c r="D17" s="208" t="s">
        <v>40</v>
      </c>
      <c r="E17" s="208" t="s">
        <v>42</v>
      </c>
      <c r="F17" s="209" t="s">
        <v>171</v>
      </c>
      <c r="G17" s="22"/>
      <c r="H17" s="27"/>
      <c r="I17" s="27"/>
      <c r="J17" s="27"/>
      <c r="K17" s="268" t="s">
        <v>34</v>
      </c>
      <c r="L17" s="268" t="s">
        <v>40</v>
      </c>
      <c r="M17" s="268" t="s">
        <v>42</v>
      </c>
      <c r="N17" s="268" t="s">
        <v>34</v>
      </c>
      <c r="O17" s="268" t="s">
        <v>40</v>
      </c>
      <c r="P17" s="268" t="s">
        <v>42</v>
      </c>
      <c r="Q17" s="268" t="s">
        <v>34</v>
      </c>
      <c r="R17" s="268" t="s">
        <v>40</v>
      </c>
      <c r="S17" s="268" t="s">
        <v>42</v>
      </c>
      <c r="T17" s="22"/>
      <c r="U17" s="22"/>
      <c r="V17" s="22"/>
      <c r="W17" s="22"/>
    </row>
    <row r="18" spans="2:23" ht="15.75" thickBot="1">
      <c r="B18" s="447"/>
      <c r="C18" s="379">
        <f>L56</f>
        <v>1844.676544945615</v>
      </c>
      <c r="D18" s="379">
        <f>L57</f>
        <v>2743.3366167968188</v>
      </c>
      <c r="E18" s="379">
        <f>L58</f>
        <v>4377.1619936717007</v>
      </c>
      <c r="F18" s="380">
        <f>'Duct and fibre costs'!D18</f>
        <v>400.60520870536209</v>
      </c>
      <c r="G18" s="22"/>
      <c r="H18" s="442" t="s">
        <v>384</v>
      </c>
      <c r="I18" s="442"/>
      <c r="J18" s="442"/>
      <c r="K18" s="269">
        <f>(C18+$L$39)/63</f>
        <v>32.246611824533566</v>
      </c>
      <c r="L18" s="269">
        <f>(D18+$M$39)/252</f>
        <v>12.818161177765155</v>
      </c>
      <c r="M18" s="269">
        <f>(E18+$N$39)/1008</f>
        <v>5.3704583270552586</v>
      </c>
      <c r="N18" s="269">
        <f>(C18+F18+$L$38)/63</f>
        <v>38.605424661126619</v>
      </c>
      <c r="O18" s="269">
        <f>(D18+F18+$M$38)/252</f>
        <v>14.400642164691195</v>
      </c>
      <c r="P18" s="269">
        <f>(E18+F18+$N$38)/1008</f>
        <v>5.764034922993118</v>
      </c>
      <c r="Q18" s="269">
        <f>(C18+F18+$L$37)/63</f>
        <v>42.613837359539318</v>
      </c>
      <c r="R18" s="269">
        <f>(D18+F18+$M$37)/252</f>
        <v>16.758340577389607</v>
      </c>
      <c r="S18" s="269">
        <f>(E18+F18+$N$37)/1008</f>
        <v>6.7121896848978801</v>
      </c>
      <c r="T18" s="22"/>
      <c r="U18" s="22"/>
      <c r="V18" s="22"/>
      <c r="W18" s="22"/>
    </row>
    <row r="19" spans="2:23" ht="15">
      <c r="B19" s="446" t="s">
        <v>242</v>
      </c>
      <c r="C19" s="208" t="s">
        <v>174</v>
      </c>
      <c r="D19" s="208" t="s">
        <v>147</v>
      </c>
      <c r="E19" s="208" t="s">
        <v>175</v>
      </c>
      <c r="F19" s="212" t="s">
        <v>150</v>
      </c>
      <c r="G19" s="22"/>
      <c r="H19" s="442" t="s">
        <v>385</v>
      </c>
      <c r="I19" s="442"/>
      <c r="J19" s="442"/>
      <c r="K19" s="270">
        <f>(C18+$L$39)/D20</f>
        <v>21.541036114486879</v>
      </c>
      <c r="L19" s="270">
        <f>(D18+$M$39)/D20</f>
        <v>34.250602742887914</v>
      </c>
      <c r="M19" s="270">
        <f>(E18+$N$39)/D20</f>
        <v>57.40025645059778</v>
      </c>
      <c r="N19" s="270">
        <f>(C18+$L$39+F18)/D20</f>
        <v>25.788782132073173</v>
      </c>
      <c r="O19" s="270">
        <f>(D18+$M$39+F18)/D20</f>
        <v>38.498348760474215</v>
      </c>
      <c r="P19" s="270">
        <f>(E18+$N$39+F18)/D20</f>
        <v>61.648002468184082</v>
      </c>
      <c r="Q19" s="270">
        <f>(C18+$L$37+F18)/D20</f>
        <v>28.466439033459114</v>
      </c>
      <c r="R19" s="270">
        <f>(D18+$M$37+F18)/D20</f>
        <v>44.778908439834758</v>
      </c>
      <c r="S19" s="270">
        <f>(E18+$N$37+F18)/D20</f>
        <v>71.740880534763178</v>
      </c>
      <c r="T19" s="22"/>
      <c r="U19" s="22"/>
      <c r="V19" s="22"/>
      <c r="W19" s="22"/>
    </row>
    <row r="20" spans="2:23" ht="12.75" thickBot="1">
      <c r="B20" s="447"/>
      <c r="C20" s="379">
        <f>L59</f>
        <v>55.475561996096815</v>
      </c>
      <c r="D20" s="379">
        <f>L60</f>
        <v>94.310066337958389</v>
      </c>
      <c r="E20" s="379">
        <f>L61</f>
        <v>477.09198109255766</v>
      </c>
      <c r="F20" s="380">
        <f>L62</f>
        <v>887.60899193754881</v>
      </c>
      <c r="G20" s="22"/>
      <c r="H20" s="27"/>
      <c r="I20" s="27"/>
      <c r="J20" s="27"/>
      <c r="K20" s="27"/>
      <c r="L20" s="27"/>
      <c r="M20" s="27"/>
      <c r="N20" s="27"/>
      <c r="O20" s="27"/>
      <c r="P20" s="27"/>
      <c r="Q20" s="27"/>
      <c r="R20" s="27"/>
      <c r="S20" s="27"/>
      <c r="T20" s="22"/>
      <c r="U20" s="22"/>
      <c r="V20" s="22"/>
      <c r="W20" s="22"/>
    </row>
    <row r="21" spans="2:23" ht="12.75" thickBot="1">
      <c r="B21" s="22"/>
      <c r="C21" s="22"/>
      <c r="D21" s="22"/>
      <c r="E21" s="22"/>
      <c r="F21" s="22"/>
      <c r="G21" s="22"/>
      <c r="H21" s="27"/>
      <c r="I21" s="27"/>
      <c r="J21" s="27"/>
      <c r="K21" s="27"/>
      <c r="L21" s="27"/>
      <c r="M21" s="27"/>
      <c r="N21" s="27"/>
      <c r="O21" s="27"/>
      <c r="P21" s="27"/>
      <c r="Q21" s="27"/>
      <c r="R21" s="27"/>
      <c r="S21" s="27"/>
      <c r="T21" s="22"/>
      <c r="U21" s="22"/>
      <c r="V21" s="22"/>
      <c r="W21" s="22"/>
    </row>
    <row r="22" spans="2:23" ht="15.75" thickBot="1">
      <c r="B22" s="446" t="s">
        <v>379</v>
      </c>
      <c r="C22" s="461"/>
      <c r="D22" s="461"/>
      <c r="E22" s="461"/>
      <c r="F22" s="462"/>
      <c r="G22" s="22"/>
      <c r="H22" s="27"/>
      <c r="I22" s="27"/>
      <c r="J22" s="27"/>
      <c r="K22" s="441" t="s">
        <v>49</v>
      </c>
      <c r="L22" s="441"/>
      <c r="M22" s="441"/>
      <c r="N22" s="441" t="s">
        <v>48</v>
      </c>
      <c r="O22" s="441"/>
      <c r="P22" s="441"/>
      <c r="Q22" s="441" t="s">
        <v>47</v>
      </c>
      <c r="R22" s="441"/>
      <c r="S22" s="441"/>
      <c r="T22" s="22"/>
      <c r="U22" s="22"/>
      <c r="V22" s="22"/>
      <c r="W22" s="22"/>
    </row>
    <row r="23" spans="2:23" ht="15">
      <c r="B23" s="459" t="s">
        <v>243</v>
      </c>
      <c r="C23" s="210" t="s">
        <v>34</v>
      </c>
      <c r="D23" s="210" t="s">
        <v>40</v>
      </c>
      <c r="E23" s="210" t="s">
        <v>42</v>
      </c>
      <c r="F23" s="211" t="s">
        <v>171</v>
      </c>
      <c r="G23" s="22"/>
      <c r="H23" s="27"/>
      <c r="I23" s="27"/>
      <c r="J23" s="27"/>
      <c r="K23" s="268" t="s">
        <v>34</v>
      </c>
      <c r="L23" s="268" t="s">
        <v>40</v>
      </c>
      <c r="M23" s="268" t="s">
        <v>42</v>
      </c>
      <c r="N23" s="268" t="s">
        <v>34</v>
      </c>
      <c r="O23" s="268" t="s">
        <v>40</v>
      </c>
      <c r="P23" s="268" t="s">
        <v>42</v>
      </c>
      <c r="Q23" s="268" t="s">
        <v>34</v>
      </c>
      <c r="R23" s="268" t="s">
        <v>40</v>
      </c>
      <c r="S23" s="268" t="s">
        <v>42</v>
      </c>
      <c r="T23" s="22"/>
      <c r="U23" s="22"/>
      <c r="V23" s="22"/>
      <c r="W23" s="22"/>
    </row>
    <row r="24" spans="2:23" ht="15.75" thickBot="1">
      <c r="B24" s="460"/>
      <c r="C24" s="385">
        <f>Summary!E132</f>
        <v>648.0012774272484</v>
      </c>
      <c r="D24" s="385">
        <f>Summary!E137</f>
        <v>753.19418077859996</v>
      </c>
      <c r="E24" s="385">
        <f>Summary!E141</f>
        <v>2134.9018317953969</v>
      </c>
      <c r="F24" s="386">
        <f>'Duct and fibre costs'!D18</f>
        <v>400.60520870536209</v>
      </c>
      <c r="G24" s="22"/>
      <c r="H24" s="442" t="s">
        <v>386</v>
      </c>
      <c r="I24" s="442"/>
      <c r="J24" s="442"/>
      <c r="K24" s="269">
        <f>(C24+$L$39)/63</f>
        <v>13.251766308369023</v>
      </c>
      <c r="L24" s="269">
        <f>(D24+$M$39)/252</f>
        <v>4.9207705586452377</v>
      </c>
      <c r="M24" s="269">
        <f>(E24+$N$39)/1008</f>
        <v>3.1459938807494021</v>
      </c>
      <c r="N24" s="269">
        <f>(C24+F24+$L$38)/63</f>
        <v>19.61057914496207</v>
      </c>
      <c r="O24" s="269">
        <f>(D24+F24+$M$38)/252</f>
        <v>6.5032515455712776</v>
      </c>
      <c r="P24" s="269">
        <f>(E24+F24+$N$38)/1008</f>
        <v>3.5395704766872611</v>
      </c>
      <c r="Q24" s="269">
        <f>(C24+F24+$L$37)/63</f>
        <v>23.618991843374765</v>
      </c>
      <c r="R24" s="269">
        <f>(D24+F24+$M$37)/252</f>
        <v>8.8609499582696891</v>
      </c>
      <c r="S24" s="269">
        <f>(E24+F24+$N$37)/1008</f>
        <v>4.4877252385920228</v>
      </c>
      <c r="T24" s="22"/>
      <c r="U24" s="22"/>
      <c r="V24" s="22"/>
      <c r="W24" s="22"/>
    </row>
    <row r="25" spans="2:23" ht="15">
      <c r="B25" s="459" t="s">
        <v>242</v>
      </c>
      <c r="C25" s="210" t="s">
        <v>174</v>
      </c>
      <c r="D25" s="210" t="s">
        <v>147</v>
      </c>
      <c r="E25" s="210" t="s">
        <v>175</v>
      </c>
      <c r="F25" s="213" t="s">
        <v>150</v>
      </c>
      <c r="G25" s="22"/>
      <c r="H25" s="442" t="s">
        <v>387</v>
      </c>
      <c r="I25" s="442"/>
      <c r="J25" s="442"/>
      <c r="K25" s="270">
        <f>(C24+$L$39)/D26</f>
        <v>3.3536033815308288</v>
      </c>
      <c r="L25" s="270">
        <f>(D24+$M$39)/D26</f>
        <v>4.9811662539772197</v>
      </c>
      <c r="M25" s="270">
        <f>(E24+$N$39)/D26</f>
        <v>12.738426526695966</v>
      </c>
      <c r="N25" s="270">
        <f>(C24+$L$39+F24)/D26</f>
        <v>4.9628180126289134</v>
      </c>
      <c r="O25" s="270">
        <f>(D24+$M$39+F24)/D26</f>
        <v>6.5903808850753052</v>
      </c>
      <c r="P25" s="270">
        <f>(E24+$N$39+F24)/D26</f>
        <v>14.347641157794051</v>
      </c>
      <c r="Q25" s="270">
        <f>(C24+$L$37+F24)/D26</f>
        <v>5.9772206263754599</v>
      </c>
      <c r="R25" s="270">
        <f>(D24+$M$37+F24)/D26</f>
        <v>8.9697059402147072</v>
      </c>
      <c r="S25" s="270">
        <f>(E24+$N$37+F24)/D26</f>
        <v>18.171223591250612</v>
      </c>
      <c r="T25" s="22"/>
      <c r="U25" s="22"/>
      <c r="V25" s="22"/>
      <c r="W25" s="22"/>
    </row>
    <row r="26" spans="2:23" ht="12.75" thickBot="1">
      <c r="B26" s="460"/>
      <c r="C26" s="385">
        <f>Summary!G116</f>
        <v>146.43546795338494</v>
      </c>
      <c r="D26" s="385">
        <f>Summary!G117</f>
        <v>248.94454783324943</v>
      </c>
      <c r="E26" s="385">
        <f>Summary!G118</f>
        <v>1259.3506941491039</v>
      </c>
      <c r="F26" s="387">
        <f>Summary!G119</f>
        <v>2342.9674872541591</v>
      </c>
      <c r="G26" s="22"/>
      <c r="H26" s="22"/>
      <c r="I26" s="13"/>
      <c r="J26" s="13"/>
      <c r="K26" s="13"/>
      <c r="L26" s="13"/>
      <c r="M26" s="13"/>
      <c r="N26" s="13"/>
      <c r="O26" s="22"/>
      <c r="P26" s="22"/>
      <c r="Q26" s="22"/>
      <c r="R26" s="22"/>
      <c r="S26" s="22"/>
      <c r="T26" s="22"/>
      <c r="U26" s="22"/>
      <c r="V26" s="22"/>
      <c r="W26" s="22"/>
    </row>
    <row r="27" spans="2:23" s="22" customFormat="1" ht="12.75" customHeight="1" thickBot="1">
      <c r="B27" s="197"/>
      <c r="C27" s="271"/>
      <c r="D27" s="271"/>
      <c r="E27" s="271"/>
      <c r="F27" s="271"/>
      <c r="K27" s="440" t="s">
        <v>286</v>
      </c>
      <c r="L27" s="440"/>
      <c r="M27" s="440"/>
      <c r="N27" s="440"/>
      <c r="O27" s="440"/>
      <c r="P27" s="440"/>
    </row>
    <row r="28" spans="2:23" s="22" customFormat="1">
      <c r="B28" s="448" t="s">
        <v>399</v>
      </c>
      <c r="C28" s="449"/>
      <c r="D28" s="449"/>
      <c r="E28" s="449"/>
      <c r="F28" s="450"/>
      <c r="K28" s="440"/>
      <c r="L28" s="440"/>
      <c r="M28" s="440"/>
      <c r="N28" s="440"/>
      <c r="O28" s="440"/>
      <c r="P28" s="440"/>
    </row>
    <row r="29" spans="2:23" s="22" customFormat="1" ht="12.75" thickBot="1">
      <c r="B29" s="451"/>
      <c r="C29" s="452"/>
      <c r="D29" s="452"/>
      <c r="E29" s="452"/>
      <c r="F29" s="453"/>
      <c r="K29" s="440"/>
      <c r="L29" s="440"/>
      <c r="M29" s="440"/>
      <c r="N29" s="440"/>
      <c r="O29" s="440"/>
      <c r="P29" s="440"/>
    </row>
    <row r="30" spans="2:23" s="22" customFormat="1">
      <c r="B30" s="446" t="s">
        <v>243</v>
      </c>
      <c r="C30" s="381" t="s">
        <v>34</v>
      </c>
      <c r="D30" s="381" t="s">
        <v>40</v>
      </c>
      <c r="E30" s="381" t="s">
        <v>42</v>
      </c>
      <c r="F30" s="382" t="s">
        <v>171</v>
      </c>
      <c r="I30" s="13"/>
      <c r="N30" s="13"/>
    </row>
    <row r="31" spans="2:23" s="22" customFormat="1" ht="12.75" thickBot="1">
      <c r="B31" s="447"/>
      <c r="C31" s="388">
        <f>C24</f>
        <v>648.0012774272484</v>
      </c>
      <c r="D31" s="388">
        <f t="shared" ref="D31:F31" si="1">D24</f>
        <v>753.19418077859996</v>
      </c>
      <c r="E31" s="388">
        <f t="shared" si="1"/>
        <v>2134.9018317953969</v>
      </c>
      <c r="F31" s="389">
        <f t="shared" si="1"/>
        <v>400.60520870536209</v>
      </c>
      <c r="I31" s="13"/>
      <c r="K31" s="435" t="s">
        <v>294</v>
      </c>
      <c r="L31" s="435"/>
      <c r="M31" s="435"/>
      <c r="N31" s="435"/>
      <c r="O31" s="435"/>
      <c r="P31" s="435"/>
    </row>
    <row r="32" spans="2:23" s="22" customFormat="1">
      <c r="B32" s="446" t="s">
        <v>242</v>
      </c>
      <c r="C32" s="381" t="s">
        <v>174</v>
      </c>
      <c r="D32" s="381" t="s">
        <v>147</v>
      </c>
      <c r="E32" s="381" t="s">
        <v>175</v>
      </c>
      <c r="F32" s="382" t="s">
        <v>150</v>
      </c>
      <c r="I32" s="13"/>
      <c r="K32" s="435"/>
      <c r="L32" s="435"/>
      <c r="M32" s="435"/>
      <c r="N32" s="435"/>
      <c r="O32" s="435"/>
      <c r="P32" s="435"/>
      <c r="R32" s="290"/>
    </row>
    <row r="33" spans="2:23" s="22" customFormat="1" ht="12.75" thickBot="1">
      <c r="B33" s="447"/>
      <c r="C33" s="388">
        <f>C8+(C26-C8)/2</f>
        <v>124.87273397669247</v>
      </c>
      <c r="D33" s="388">
        <f t="shared" ref="D33:F33" si="2">D8+(D26-D8)/2</f>
        <v>212.28727391662471</v>
      </c>
      <c r="E33" s="388">
        <f t="shared" si="2"/>
        <v>1073.910347074552</v>
      </c>
      <c r="F33" s="388">
        <f t="shared" si="2"/>
        <v>1997.9637436270796</v>
      </c>
      <c r="I33" s="13"/>
      <c r="K33" s="435"/>
      <c r="L33" s="435"/>
      <c r="M33" s="435"/>
      <c r="N33" s="435"/>
      <c r="O33" s="435"/>
      <c r="P33" s="435"/>
      <c r="R33" s="290"/>
    </row>
    <row r="34" spans="2:23">
      <c r="B34" s="22"/>
      <c r="C34" s="22"/>
      <c r="D34" s="22"/>
      <c r="E34" s="22"/>
      <c r="F34" s="271"/>
      <c r="G34" s="22"/>
      <c r="H34" s="22"/>
      <c r="I34" s="13"/>
      <c r="N34" s="13"/>
      <c r="O34" s="22"/>
      <c r="P34" s="22"/>
      <c r="Q34" s="22"/>
      <c r="R34" s="290"/>
      <c r="S34" s="22"/>
      <c r="T34" s="22"/>
      <c r="U34" s="22"/>
      <c r="V34" s="22"/>
      <c r="W34" s="22"/>
    </row>
    <row r="35" spans="2:23" ht="15">
      <c r="B35" s="167" t="s">
        <v>244</v>
      </c>
      <c r="C35" s="217">
        <f>SUM(C36:C38)</f>
        <v>3769263.9448386519</v>
      </c>
      <c r="D35" s="141"/>
      <c r="E35" s="22"/>
      <c r="F35" s="271"/>
      <c r="G35" s="22"/>
      <c r="H35" s="22"/>
      <c r="I35" s="13"/>
      <c r="K35" s="429" t="s">
        <v>293</v>
      </c>
      <c r="L35" s="430"/>
      <c r="M35" s="430"/>
      <c r="N35" s="431"/>
      <c r="O35" s="22"/>
      <c r="P35" s="22"/>
      <c r="Q35" s="22"/>
      <c r="R35" s="290"/>
      <c r="S35" s="22"/>
      <c r="T35" s="22"/>
      <c r="U35" s="22"/>
      <c r="V35" s="22"/>
      <c r="W35" s="22"/>
    </row>
    <row r="36" spans="2:23" ht="15">
      <c r="B36" s="218" t="s">
        <v>245</v>
      </c>
      <c r="C36" s="205">
        <f>Summary!E149</f>
        <v>900397.51615520951</v>
      </c>
      <c r="D36" s="141"/>
      <c r="E36" s="22"/>
      <c r="F36" s="271"/>
      <c r="G36" s="22"/>
      <c r="H36" s="22"/>
      <c r="I36" s="13"/>
      <c r="K36" s="87"/>
      <c r="L36" s="149" t="s">
        <v>34</v>
      </c>
      <c r="M36" s="149" t="s">
        <v>40</v>
      </c>
      <c r="N36" s="149" t="s">
        <v>42</v>
      </c>
      <c r="P36" s="22"/>
      <c r="R36" s="293"/>
      <c r="S36" s="22"/>
      <c r="T36" s="22"/>
      <c r="U36" s="22"/>
      <c r="V36" s="22"/>
      <c r="W36" s="22"/>
    </row>
    <row r="37" spans="2:23">
      <c r="B37" s="218" t="s">
        <v>246</v>
      </c>
      <c r="C37" s="205">
        <f>Summary!E150</f>
        <v>2696205.5837314315</v>
      </c>
      <c r="D37" s="141"/>
      <c r="E37" s="22"/>
      <c r="F37" s="271"/>
      <c r="G37" s="22"/>
      <c r="H37" s="22"/>
      <c r="I37" s="13"/>
      <c r="K37" s="164" t="s">
        <v>47</v>
      </c>
      <c r="L37" s="404">
        <f>Inputs!C109</f>
        <v>439.39</v>
      </c>
      <c r="M37" s="404">
        <f>Inputs!D109</f>
        <v>1079.1599999999999</v>
      </c>
      <c r="N37" s="404">
        <f>Inputs!E109</f>
        <v>1988.12</v>
      </c>
      <c r="O37" s="22"/>
      <c r="P37" s="22"/>
      <c r="Q37" s="290"/>
      <c r="R37" s="290"/>
      <c r="S37" s="22"/>
      <c r="T37" s="22"/>
      <c r="U37" s="22"/>
      <c r="V37" s="22"/>
      <c r="W37" s="22"/>
    </row>
    <row r="38" spans="2:23">
      <c r="B38" s="219" t="str">
        <f>Summary!D152</f>
        <v>SDH bearer</v>
      </c>
      <c r="C38" s="205">
        <f>Summary!E152</f>
        <v>172660.84495201104</v>
      </c>
      <c r="D38" s="141"/>
      <c r="E38" s="22"/>
      <c r="F38" s="271"/>
      <c r="G38" s="22"/>
      <c r="H38" s="22"/>
      <c r="I38" s="13"/>
      <c r="K38" s="164" t="s">
        <v>48</v>
      </c>
      <c r="L38" s="404">
        <f>Inputs!C110</f>
        <v>186.86</v>
      </c>
      <c r="M38" s="404">
        <f>Inputs!D110</f>
        <v>485.02</v>
      </c>
      <c r="N38" s="404">
        <f>Inputs!E110</f>
        <v>1032.3800000000001</v>
      </c>
      <c r="O38" s="22"/>
      <c r="P38" s="22"/>
      <c r="Q38" s="290"/>
      <c r="R38" s="290"/>
      <c r="S38" s="22"/>
      <c r="T38" s="22"/>
      <c r="U38" s="22"/>
      <c r="V38" s="22"/>
      <c r="W38" s="22"/>
    </row>
    <row r="39" spans="2:23" s="22" customFormat="1">
      <c r="B39" s="197"/>
      <c r="C39" s="271"/>
      <c r="D39" s="271"/>
      <c r="E39" s="271"/>
      <c r="F39" s="271"/>
      <c r="I39" s="13"/>
      <c r="K39" s="164" t="s">
        <v>49</v>
      </c>
      <c r="L39" s="404">
        <f>Inputs!C111</f>
        <v>186.86</v>
      </c>
      <c r="M39" s="404">
        <f>Inputs!D111</f>
        <v>486.84</v>
      </c>
      <c r="N39" s="404">
        <f>Inputs!E111</f>
        <v>1036.26</v>
      </c>
      <c r="Q39" s="290"/>
      <c r="R39" s="290"/>
    </row>
    <row r="40" spans="2:23">
      <c r="D40" s="141"/>
      <c r="E40" s="22"/>
      <c r="F40" s="22"/>
      <c r="H40" s="22"/>
      <c r="I40" s="13"/>
      <c r="L40" s="13"/>
      <c r="M40" s="13"/>
      <c r="N40" s="13"/>
      <c r="O40" s="22"/>
      <c r="R40" s="290"/>
      <c r="S40" s="22"/>
      <c r="T40" s="22"/>
      <c r="U40" s="22"/>
      <c r="V40" s="22"/>
      <c r="W40" s="22"/>
    </row>
    <row r="41" spans="2:23">
      <c r="B41" s="307" t="s">
        <v>380</v>
      </c>
      <c r="C41" s="194"/>
      <c r="D41" s="194"/>
      <c r="E41" s="194"/>
      <c r="F41" s="194"/>
      <c r="G41" s="194"/>
      <c r="H41" s="194"/>
      <c r="I41" s="195"/>
      <c r="J41" s="291"/>
      <c r="R41" s="290"/>
    </row>
    <row r="42" spans="2:23">
      <c r="B42" s="196"/>
      <c r="C42" s="206" t="s">
        <v>347</v>
      </c>
      <c r="D42" s="198">
        <f>Summary!E150</f>
        <v>2696205.5837314315</v>
      </c>
      <c r="E42" s="20"/>
      <c r="F42" s="20"/>
      <c r="G42" s="20"/>
      <c r="H42" s="435" t="s">
        <v>337</v>
      </c>
      <c r="I42" s="439"/>
      <c r="J42" s="13"/>
      <c r="Q42" s="22"/>
      <c r="R42" s="290"/>
    </row>
    <row r="43" spans="2:23">
      <c r="B43" s="196"/>
      <c r="C43" s="206" t="s">
        <v>176</v>
      </c>
      <c r="D43" s="198">
        <f>SUMPRODUCT(Inputs!C96:C99,Inputs!D96:D99)</f>
        <v>1902168.94</v>
      </c>
      <c r="E43" s="20"/>
      <c r="F43" s="20"/>
      <c r="G43" s="20"/>
      <c r="H43" s="435"/>
      <c r="I43" s="439"/>
      <c r="Q43" s="22"/>
      <c r="R43" s="290"/>
    </row>
    <row r="44" spans="2:23">
      <c r="B44" s="196"/>
      <c r="C44" s="206" t="s">
        <v>348</v>
      </c>
      <c r="D44" s="198">
        <f>Summary!E149</f>
        <v>900397.51615520951</v>
      </c>
      <c r="E44" s="20"/>
      <c r="F44" s="20"/>
      <c r="G44" s="20"/>
      <c r="H44" s="435"/>
      <c r="I44" s="439"/>
      <c r="J44" s="22"/>
      <c r="K44" s="22"/>
      <c r="L44" s="22"/>
      <c r="O44" s="22"/>
      <c r="P44" s="123"/>
      <c r="Q44" s="22"/>
      <c r="R44" s="290"/>
    </row>
    <row r="45" spans="2:23">
      <c r="B45" s="196"/>
      <c r="C45" s="109" t="s">
        <v>338</v>
      </c>
      <c r="D45" s="198">
        <f>D42-D43+D44</f>
        <v>1694434.159886641</v>
      </c>
      <c r="E45" s="20"/>
      <c r="F45" s="20"/>
      <c r="G45" s="20"/>
      <c r="H45" s="435"/>
      <c r="I45" s="439"/>
      <c r="J45" s="22"/>
      <c r="K45" s="22"/>
      <c r="L45" s="22"/>
      <c r="O45" s="22"/>
      <c r="Q45" s="22"/>
      <c r="R45" s="293"/>
    </row>
    <row r="46" spans="2:23">
      <c r="B46" s="196"/>
      <c r="C46" s="206"/>
      <c r="D46" s="300"/>
      <c r="E46" s="20"/>
      <c r="F46" s="20"/>
      <c r="G46" s="20"/>
      <c r="H46" s="435"/>
      <c r="I46" s="439"/>
      <c r="J46" s="22"/>
      <c r="K46" s="22"/>
      <c r="L46" s="22"/>
      <c r="O46" s="22"/>
      <c r="P46" s="123"/>
      <c r="Q46" s="22"/>
      <c r="R46" s="290"/>
    </row>
    <row r="47" spans="2:23">
      <c r="B47" s="196"/>
      <c r="C47" s="438" t="s">
        <v>331</v>
      </c>
      <c r="D47" s="438"/>
      <c r="E47" s="438"/>
      <c r="F47" s="112"/>
      <c r="G47" s="20"/>
      <c r="H47" s="435"/>
      <c r="I47" s="439"/>
      <c r="J47" s="22"/>
      <c r="K47" s="22"/>
      <c r="L47" s="22"/>
      <c r="O47" s="22"/>
      <c r="P47" s="123"/>
      <c r="Q47" s="22"/>
      <c r="R47" s="290"/>
    </row>
    <row r="48" spans="2:23">
      <c r="B48" s="196"/>
      <c r="C48" s="296" t="s">
        <v>34</v>
      </c>
      <c r="D48" s="296" t="s">
        <v>40</v>
      </c>
      <c r="E48" s="296" t="s">
        <v>42</v>
      </c>
      <c r="F48" s="112"/>
      <c r="G48" s="20"/>
      <c r="H48" s="20"/>
      <c r="I48" s="295"/>
      <c r="J48" s="22"/>
      <c r="K48" s="22"/>
      <c r="L48" s="22"/>
      <c r="N48" s="290"/>
      <c r="O48" s="22"/>
      <c r="P48" s="123"/>
      <c r="Q48" s="22"/>
      <c r="R48" s="290"/>
    </row>
    <row r="49" spans="2:18">
      <c r="B49" s="297" t="s">
        <v>335</v>
      </c>
      <c r="C49" s="289">
        <f>C6/$C6</f>
        <v>1</v>
      </c>
      <c r="D49" s="298">
        <f>D6/$C6</f>
        <v>1.4871640365968324</v>
      </c>
      <c r="E49" s="298">
        <f>E6/$C6</f>
        <v>2.3728615218017799</v>
      </c>
      <c r="F49" s="301"/>
      <c r="G49" s="303" t="s">
        <v>339</v>
      </c>
      <c r="H49" s="20"/>
      <c r="I49" s="304"/>
      <c r="J49" s="22"/>
      <c r="K49" s="22"/>
      <c r="L49" s="22"/>
      <c r="R49" s="293"/>
    </row>
    <row r="50" spans="2:18">
      <c r="B50" s="297" t="s">
        <v>173</v>
      </c>
      <c r="C50" s="204">
        <f>Summary!F77+Summary!F78+Summary!F79</f>
        <v>107</v>
      </c>
      <c r="D50" s="204">
        <f>Summary!F82+Summary!F83+Summary!F84</f>
        <v>562</v>
      </c>
      <c r="E50" s="204">
        <f>Summary!F86+Summary!F87+Summary!F88</f>
        <v>191</v>
      </c>
      <c r="F50" s="302"/>
      <c r="G50" s="303" t="s">
        <v>340</v>
      </c>
      <c r="H50" s="20"/>
      <c r="I50" s="304"/>
      <c r="O50" s="22"/>
    </row>
    <row r="51" spans="2:18">
      <c r="B51" s="297"/>
      <c r="C51" s="289">
        <f>C49*C50</f>
        <v>107</v>
      </c>
      <c r="D51" s="298">
        <f t="shared" ref="D51:E51" si="3">D49*D50</f>
        <v>835.7861885674198</v>
      </c>
      <c r="E51" s="298">
        <f t="shared" si="3"/>
        <v>453.21655066413996</v>
      </c>
      <c r="F51" s="298">
        <f>SUM(C51:E51)</f>
        <v>1396.0027392315596</v>
      </c>
      <c r="G51" s="20"/>
      <c r="H51" s="20"/>
      <c r="I51" s="304"/>
      <c r="O51" s="22"/>
      <c r="P51" s="123"/>
      <c r="R51" s="290"/>
    </row>
    <row r="52" spans="2:18">
      <c r="B52" s="299" t="s">
        <v>336</v>
      </c>
      <c r="C52" s="305">
        <f>$D$45/$F$51*C49</f>
        <v>1213.7756698237965</v>
      </c>
      <c r="D52" s="305">
        <f t="shared" ref="D52:E52" si="4">$D$45/$F$51*D49</f>
        <v>1805.0835246581812</v>
      </c>
      <c r="E52" s="305">
        <f t="shared" si="4"/>
        <v>2880.1215830240685</v>
      </c>
      <c r="F52" s="306"/>
      <c r="G52" s="73"/>
      <c r="H52" s="73"/>
      <c r="I52" s="203"/>
      <c r="O52" s="22"/>
      <c r="P52" s="123"/>
      <c r="Q52" s="22"/>
      <c r="R52" s="290"/>
    </row>
    <row r="53" spans="2:18">
      <c r="O53" s="22"/>
      <c r="P53" s="123"/>
      <c r="Q53" s="22"/>
      <c r="R53" s="290"/>
    </row>
    <row r="54" spans="2:18">
      <c r="B54" s="307" t="s">
        <v>381</v>
      </c>
      <c r="C54" s="192" t="s">
        <v>224</v>
      </c>
      <c r="D54" s="194"/>
      <c r="E54" s="194"/>
      <c r="F54" s="194"/>
      <c r="G54" s="194"/>
      <c r="H54" s="194"/>
      <c r="I54" s="194"/>
      <c r="J54" s="194"/>
      <c r="K54" s="194"/>
      <c r="L54" s="436" t="s">
        <v>388</v>
      </c>
      <c r="O54" s="22"/>
      <c r="P54" s="123"/>
      <c r="Q54" s="22"/>
      <c r="R54" s="290"/>
    </row>
    <row r="55" spans="2:18">
      <c r="B55" s="196"/>
      <c r="C55" s="289" t="s">
        <v>346</v>
      </c>
      <c r="D55" s="289" t="s">
        <v>178</v>
      </c>
      <c r="E55" s="289" t="s">
        <v>177</v>
      </c>
      <c r="F55" s="20"/>
      <c r="G55" s="197" t="s">
        <v>173</v>
      </c>
      <c r="H55" s="197" t="s">
        <v>182</v>
      </c>
      <c r="I55" s="197" t="s">
        <v>183</v>
      </c>
      <c r="J55" s="197" t="s">
        <v>185</v>
      </c>
      <c r="K55" s="197" t="s">
        <v>186</v>
      </c>
      <c r="L55" s="437"/>
      <c r="O55" s="22"/>
      <c r="Q55" s="22"/>
      <c r="R55" s="293"/>
    </row>
    <row r="56" spans="2:18">
      <c r="B56" s="372" t="s">
        <v>179</v>
      </c>
      <c r="C56" s="198">
        <f>SUMPRODUCT(Inputs!C102:C104,Inputs!D102:D104)</f>
        <v>4795646.33</v>
      </c>
      <c r="D56" s="198">
        <f>Summary!E149</f>
        <v>900397.51615520951</v>
      </c>
      <c r="E56" s="198">
        <f>C56-D56</f>
        <v>3895248.8138447907</v>
      </c>
      <c r="F56" s="199" t="s">
        <v>34</v>
      </c>
      <c r="G56" s="204">
        <f>Inputs!D102</f>
        <v>107</v>
      </c>
      <c r="H56" s="165">
        <f>Inputs!C102</f>
        <v>3435.27</v>
      </c>
      <c r="I56" s="198">
        <f>G56*H56</f>
        <v>367573.89</v>
      </c>
      <c r="J56" s="200">
        <f t="shared" ref="J56:J62" si="5">I56/I$63</f>
        <v>5.4879669740428662E-2</v>
      </c>
      <c r="K56" s="369">
        <f t="shared" ref="K56:K62" si="6">J56*E$58</f>
        <v>170193.49969081921</v>
      </c>
      <c r="L56" s="370">
        <f t="shared" ref="L56:L62" si="7">(I56-K56)/G56</f>
        <v>1844.676544945615</v>
      </c>
      <c r="O56" s="22"/>
      <c r="P56" s="123"/>
      <c r="Q56" s="22"/>
      <c r="R56" s="290"/>
    </row>
    <row r="57" spans="2:18">
      <c r="B57" s="372" t="s">
        <v>180</v>
      </c>
      <c r="C57" s="198">
        <f>SUMPRODUCT(Inputs!C96:C99,Inputs!D96:D99)</f>
        <v>1902168.94</v>
      </c>
      <c r="D57" s="198">
        <f>Summary!E150</f>
        <v>2696205.5837314315</v>
      </c>
      <c r="E57" s="198">
        <f>C57-D57</f>
        <v>-794036.64373143157</v>
      </c>
      <c r="F57" s="199" t="s">
        <v>40</v>
      </c>
      <c r="G57" s="204">
        <f>Inputs!D103</f>
        <v>562</v>
      </c>
      <c r="H57" s="165">
        <f>Inputs!C103</f>
        <v>5108.8100000000004</v>
      </c>
      <c r="I57" s="198">
        <f t="shared" ref="I57:I62" si="8">G57*H57</f>
        <v>2871151.22</v>
      </c>
      <c r="J57" s="200">
        <f t="shared" si="5"/>
        <v>0.42866981310459468</v>
      </c>
      <c r="K57" s="369">
        <f t="shared" si="6"/>
        <v>1329396.041360188</v>
      </c>
      <c r="L57" s="370">
        <f t="shared" si="7"/>
        <v>2743.3366167968188</v>
      </c>
      <c r="O57" s="22"/>
      <c r="P57" s="123"/>
      <c r="Q57" s="22"/>
      <c r="R57" s="290"/>
    </row>
    <row r="58" spans="2:18">
      <c r="B58" s="196"/>
      <c r="C58" s="20"/>
      <c r="D58" s="206" t="s">
        <v>181</v>
      </c>
      <c r="E58" s="198">
        <f>E56+E57</f>
        <v>3101212.1701133591</v>
      </c>
      <c r="F58" s="199" t="s">
        <v>42</v>
      </c>
      <c r="G58" s="204">
        <f>Inputs!D104</f>
        <v>191</v>
      </c>
      <c r="H58" s="165">
        <f>Inputs!C104</f>
        <v>8151.42</v>
      </c>
      <c r="I58" s="198">
        <f t="shared" si="8"/>
        <v>1556921.22</v>
      </c>
      <c r="J58" s="200">
        <f t="shared" si="5"/>
        <v>0.23245209926489957</v>
      </c>
      <c r="K58" s="369">
        <f t="shared" si="6"/>
        <v>720883.27920870518</v>
      </c>
      <c r="L58" s="370">
        <f t="shared" si="7"/>
        <v>4377.1619936717007</v>
      </c>
      <c r="N58" s="290"/>
      <c r="O58" s="22"/>
      <c r="P58" s="123"/>
      <c r="Q58" s="22"/>
      <c r="R58" s="290"/>
    </row>
    <row r="59" spans="2:18">
      <c r="B59" s="196"/>
      <c r="C59" s="20"/>
      <c r="D59" s="20"/>
      <c r="E59" s="198"/>
      <c r="F59" s="193" t="s">
        <v>146</v>
      </c>
      <c r="G59" s="204">
        <f>Inputs!C96</f>
        <v>4092</v>
      </c>
      <c r="H59" s="165">
        <f>Inputs!D96</f>
        <v>103.31</v>
      </c>
      <c r="I59" s="198">
        <f t="shared" si="8"/>
        <v>422744.52</v>
      </c>
      <c r="J59" s="200">
        <f t="shared" si="5"/>
        <v>6.3116778077398364E-2</v>
      </c>
      <c r="K59" s="369">
        <f t="shared" si="6"/>
        <v>195738.52031197186</v>
      </c>
      <c r="L59" s="370">
        <f t="shared" si="7"/>
        <v>55.475561996096815</v>
      </c>
      <c r="Q59" s="294"/>
      <c r="R59" s="293"/>
    </row>
    <row r="60" spans="2:18">
      <c r="B60" s="196"/>
      <c r="C60" s="165" t="s">
        <v>389</v>
      </c>
      <c r="D60" s="20"/>
      <c r="E60" s="20"/>
      <c r="F60" s="193" t="s">
        <v>147</v>
      </c>
      <c r="G60" s="204">
        <f>Inputs!C97</f>
        <v>8404</v>
      </c>
      <c r="H60" s="165">
        <f>Inputs!D97</f>
        <v>175.63</v>
      </c>
      <c r="I60" s="198">
        <f t="shared" si="8"/>
        <v>1475994.52</v>
      </c>
      <c r="J60" s="200">
        <f t="shared" si="5"/>
        <v>0.22036954745692772</v>
      </c>
      <c r="K60" s="369">
        <f t="shared" si="6"/>
        <v>683412.72249579767</v>
      </c>
      <c r="L60" s="370">
        <f t="shared" si="7"/>
        <v>94.310066337958389</v>
      </c>
    </row>
    <row r="61" spans="2:18">
      <c r="B61" s="372" t="s">
        <v>179</v>
      </c>
      <c r="C61" s="198">
        <f>SUMPRODUCT(G56:G58,L56:L58)</f>
        <v>2575173.5097402879</v>
      </c>
      <c r="D61" s="20"/>
      <c r="E61" s="20"/>
      <c r="F61" s="193" t="s">
        <v>184</v>
      </c>
      <c r="G61" s="204">
        <f>Inputs!C98</f>
        <v>2</v>
      </c>
      <c r="H61" s="165">
        <f>Inputs!D98</f>
        <v>888.47</v>
      </c>
      <c r="I61" s="198">
        <f t="shared" si="8"/>
        <v>1776.94</v>
      </c>
      <c r="J61" s="200">
        <f t="shared" si="5"/>
        <v>2.6530143462735425E-4</v>
      </c>
      <c r="K61" s="369">
        <f t="shared" si="6"/>
        <v>822.75603781488473</v>
      </c>
      <c r="L61" s="370">
        <f t="shared" si="7"/>
        <v>477.09198109255766</v>
      </c>
    </row>
    <row r="62" spans="2:18">
      <c r="B62" s="372" t="s">
        <v>180</v>
      </c>
      <c r="C62" s="198">
        <f>SUMPRODUCT(G59:G62,L59:L62)</f>
        <v>1021429.5901463532</v>
      </c>
      <c r="D62" s="20"/>
      <c r="E62" s="20"/>
      <c r="F62" s="199" t="s">
        <v>150</v>
      </c>
      <c r="G62" s="204">
        <f>Inputs!C99</f>
        <v>1</v>
      </c>
      <c r="H62" s="165">
        <f>Inputs!D99</f>
        <v>1652.96</v>
      </c>
      <c r="I62" s="198">
        <f t="shared" si="8"/>
        <v>1652.96</v>
      </c>
      <c r="J62" s="200">
        <f t="shared" si="5"/>
        <v>2.4679092112374731E-4</v>
      </c>
      <c r="K62" s="369">
        <f t="shared" si="6"/>
        <v>765.35100806245123</v>
      </c>
      <c r="L62" s="370">
        <f t="shared" si="7"/>
        <v>887.60899193754881</v>
      </c>
    </row>
    <row r="63" spans="2:18">
      <c r="B63" s="374" t="s">
        <v>77</v>
      </c>
      <c r="C63" s="373">
        <f>SUM(C61:C62)</f>
        <v>3596603.0998866409</v>
      </c>
      <c r="D63" s="73"/>
      <c r="E63" s="73"/>
      <c r="F63" s="73"/>
      <c r="G63" s="73"/>
      <c r="H63" s="201"/>
      <c r="I63" s="202">
        <f>SUM(I56:I62)</f>
        <v>6697815.2699999996</v>
      </c>
      <c r="J63" s="73"/>
      <c r="K63" s="73"/>
      <c r="L63" s="371"/>
    </row>
    <row r="64" spans="2:18">
      <c r="L64" s="123"/>
    </row>
    <row r="65" spans="2:11">
      <c r="B65" s="434" t="s">
        <v>392</v>
      </c>
      <c r="C65" s="434" t="s">
        <v>395</v>
      </c>
      <c r="D65" s="434" t="s">
        <v>396</v>
      </c>
    </row>
    <row r="66" spans="2:11">
      <c r="B66" s="434"/>
      <c r="C66" s="434"/>
      <c r="D66" s="434"/>
      <c r="E66" s="22"/>
    </row>
    <row r="67" spans="2:11">
      <c r="B67" s="377" t="s">
        <v>225</v>
      </c>
      <c r="C67" s="378">
        <f>C6*Inputs!D$102+D6*Inputs!D$103+E6*Inputs!D$104+F6*(Summary!F$77+Summary!F$78+Summary!F$82+Summary!F$83+Summary!F$86+Summary!F$87)</f>
        <v>4941354.5</v>
      </c>
      <c r="D67" s="378">
        <f>C8*Inputs!C$96+D8*Inputs!C$97+E8*Inputs!C$98+F8*Inputs!C$99</f>
        <v>1902168.94</v>
      </c>
    </row>
    <row r="68" spans="2:11">
      <c r="B68" s="377" t="s">
        <v>393</v>
      </c>
      <c r="C68" s="378">
        <f>C12*Inputs!D$102+D12*Inputs!D$103+E12*Inputs!D$104+F12*(Summary!F$77+Summary!F$78+Summary!F$82+Summary!F$83+Summary!F$86+Summary!F$87)</f>
        <v>1867095.004838652</v>
      </c>
      <c r="D68" s="378">
        <f>C14*Inputs!C$96+D14*Inputs!C$97+E14*Inputs!C$98+F14*Inputs!C$99</f>
        <v>1902168.94</v>
      </c>
    </row>
    <row r="69" spans="2:11">
      <c r="B69" s="377" t="s">
        <v>389</v>
      </c>
      <c r="C69" s="378">
        <f>C18*Inputs!D$102+D18*Inputs!D$103+E18*Inputs!D$104+F18*(Summary!F$77+Summary!F$78+Summary!F$82+Summary!F$83+Summary!F$86+Summary!F$87)</f>
        <v>2747834.3546922989</v>
      </c>
      <c r="D69" s="378">
        <f>C20*Inputs!C$96+D20*Inputs!C$97+E20*Inputs!C$98+F20*Inputs!C$99</f>
        <v>1021429.5901463532</v>
      </c>
      <c r="F69" s="123"/>
    </row>
    <row r="70" spans="2:11">
      <c r="B70" s="377" t="s">
        <v>394</v>
      </c>
      <c r="C70" s="378">
        <f>C24*Inputs!D$102+D24*Inputs!D$103+E24*Inputs!D$104+F24*(Summary!F$77+Summary!F$78+Summary!F$82+Summary!F$83+Summary!F$86+Summary!F$87)</f>
        <v>1073058.3611072206</v>
      </c>
      <c r="D70" s="378">
        <f>C26*Inputs!C$96+D26*Inputs!C$97+E26*Inputs!C$98+F26*Inputs!C$99</f>
        <v>2696205.583731432</v>
      </c>
      <c r="F70" s="291"/>
    </row>
    <row r="71" spans="2:11">
      <c r="B71" s="377" t="s">
        <v>397</v>
      </c>
      <c r="C71" s="378">
        <f>C31*Inputs!D$102+D31*Inputs!D$103+E31*Inputs!D$104+F31*(Summary!F$77+Summary!F$78+Summary!F$82+Summary!F$83+Summary!F$86+Summary!F$87)</f>
        <v>1073058.3611072206</v>
      </c>
      <c r="D71" s="378">
        <f>C33*Inputs!C$96+D33*Inputs!C$97+E33*Inputs!C$98+F33*Inputs!C$99</f>
        <v>2299187.261865716</v>
      </c>
      <c r="F71" s="291"/>
    </row>
    <row r="72" spans="2:11" ht="12" customHeight="1">
      <c r="C72" s="393"/>
      <c r="D72" s="393"/>
    </row>
    <row r="73" spans="2:11">
      <c r="C73" s="393"/>
      <c r="D73" s="393"/>
      <c r="E73" s="290"/>
      <c r="F73" s="123"/>
      <c r="H73" s="291"/>
      <c r="J73" s="292"/>
      <c r="K73" s="292"/>
    </row>
    <row r="74" spans="2:11">
      <c r="C74" s="393"/>
      <c r="D74" s="393"/>
      <c r="E74" s="290"/>
      <c r="F74" s="123"/>
      <c r="H74" s="22"/>
    </row>
    <row r="75" spans="2:11">
      <c r="C75" s="393"/>
      <c r="D75" s="393"/>
      <c r="E75" s="290"/>
      <c r="F75" s="123"/>
      <c r="H75" s="22"/>
    </row>
    <row r="76" spans="2:11">
      <c r="C76" s="393"/>
      <c r="D76" s="393"/>
      <c r="E76" s="290"/>
      <c r="F76" s="123"/>
      <c r="H76" s="291"/>
    </row>
    <row r="78" spans="2:11">
      <c r="C78" s="22"/>
      <c r="D78" s="376"/>
      <c r="E78" s="22"/>
      <c r="F78" s="123"/>
      <c r="H78" s="291"/>
    </row>
    <row r="79" spans="2:11">
      <c r="C79" s="22"/>
      <c r="E79" s="22"/>
      <c r="F79" s="123"/>
      <c r="H79" s="22"/>
    </row>
    <row r="80" spans="2:11">
      <c r="C80" s="22"/>
      <c r="D80" s="376"/>
      <c r="E80" s="22"/>
      <c r="F80" s="123"/>
      <c r="H80" s="22"/>
    </row>
    <row r="81" spans="3:8">
      <c r="C81" s="22"/>
      <c r="D81" s="376"/>
      <c r="E81" s="22"/>
      <c r="F81" s="123"/>
      <c r="H81" s="22"/>
    </row>
    <row r="82" spans="3:8">
      <c r="D82" s="376"/>
      <c r="H82" s="123"/>
    </row>
    <row r="83" spans="3:8">
      <c r="D83" s="376"/>
    </row>
    <row r="84" spans="3:8">
      <c r="D84" s="376"/>
    </row>
  </sheetData>
  <mergeCells count="45">
    <mergeCell ref="B4:F4"/>
    <mergeCell ref="B5:B6"/>
    <mergeCell ref="B7:B8"/>
    <mergeCell ref="B23:B24"/>
    <mergeCell ref="B25:B26"/>
    <mergeCell ref="B22:F22"/>
    <mergeCell ref="B19:B20"/>
    <mergeCell ref="B10:F10"/>
    <mergeCell ref="B11:B12"/>
    <mergeCell ref="B16:F16"/>
    <mergeCell ref="B13:B14"/>
    <mergeCell ref="Q22:S22"/>
    <mergeCell ref="H19:J19"/>
    <mergeCell ref="H18:J18"/>
    <mergeCell ref="B17:B18"/>
    <mergeCell ref="I2:Q3"/>
    <mergeCell ref="N16:P16"/>
    <mergeCell ref="Q16:S16"/>
    <mergeCell ref="K4:M4"/>
    <mergeCell ref="N4:P4"/>
    <mergeCell ref="Q4:S4"/>
    <mergeCell ref="H6:J6"/>
    <mergeCell ref="H7:J7"/>
    <mergeCell ref="K10:M10"/>
    <mergeCell ref="N10:P10"/>
    <mergeCell ref="Q10:S10"/>
    <mergeCell ref="H12:J12"/>
    <mergeCell ref="K16:M16"/>
    <mergeCell ref="H13:J13"/>
    <mergeCell ref="K27:P29"/>
    <mergeCell ref="K22:M22"/>
    <mergeCell ref="C65:C66"/>
    <mergeCell ref="D65:D66"/>
    <mergeCell ref="H24:J24"/>
    <mergeCell ref="H25:J25"/>
    <mergeCell ref="N22:P22"/>
    <mergeCell ref="B28:F29"/>
    <mergeCell ref="B30:B31"/>
    <mergeCell ref="B32:B33"/>
    <mergeCell ref="B65:B66"/>
    <mergeCell ref="K31:P33"/>
    <mergeCell ref="L54:L55"/>
    <mergeCell ref="C47:E47"/>
    <mergeCell ref="K35:N35"/>
    <mergeCell ref="H42:I47"/>
  </mergeCells>
  <pageMargins left="0.70866141732283472" right="0.47244094488188981" top="0.74803149606299213" bottom="0.74803149606299213" header="0.31496062992125984" footer="0.31496062992125984"/>
  <pageSetup paperSize="9" scale="51" orientation="portrait" horizontalDpi="200" verticalDpi="200" r:id="rId1"/>
  <headerFooter>
    <oddHeader>&amp;C&amp;F</oddHeader>
    <oddFooter>&amp;L&amp;A :page &amp;P&amp;COfcom&amp;R&amp;D</oddFooter>
  </headerFooter>
  <ignoredErrors>
    <ignoredError sqref="C56" formulaRange="1"/>
  </ignoredErrors>
</worksheet>
</file>

<file path=xl/worksheets/sheet5.xml><?xml version="1.0" encoding="utf-8"?>
<worksheet xmlns="http://schemas.openxmlformats.org/spreadsheetml/2006/main" xmlns:r="http://schemas.openxmlformats.org/officeDocument/2006/relationships">
  <sheetPr codeName="Sheet2">
    <pageSetUpPr autoPageBreaks="0" fitToPage="1"/>
  </sheetPr>
  <dimension ref="A1:XFD156"/>
  <sheetViews>
    <sheetView defaultGridColor="0" colorId="22" zoomScale="90" zoomScaleNormal="90" workbookViewId="0">
      <pane ySplit="1" topLeftCell="A2" activePane="bottomLeft" state="frozen"/>
      <selection pane="bottomLeft" activeCell="A2" sqref="A2"/>
    </sheetView>
  </sheetViews>
  <sheetFormatPr defaultColWidth="12.7109375" defaultRowHeight="12"/>
  <cols>
    <col min="1" max="1" width="6.85546875" customWidth="1"/>
    <col min="2" max="2" width="13.140625" customWidth="1"/>
    <col min="3" max="4" width="14.7109375" customWidth="1"/>
    <col min="5" max="7" width="12.7109375" customWidth="1"/>
    <col min="9" max="9" width="12" customWidth="1"/>
    <col min="10" max="10" width="5" customWidth="1"/>
    <col min="11" max="11" width="11" customWidth="1"/>
    <col min="12" max="12" width="10.7109375" customWidth="1"/>
    <col min="18" max="18" width="6.28515625" customWidth="1"/>
  </cols>
  <sheetData>
    <row r="1" spans="1:16384" s="17" customFormat="1" ht="40.5" customHeight="1">
      <c r="A1" s="49" t="s">
        <v>247</v>
      </c>
      <c r="J1" s="17" t="s">
        <v>7</v>
      </c>
    </row>
    <row r="2" spans="1:16384" s="17" customFormat="1" ht="15" customHeight="1">
      <c r="A2" s="37" t="s">
        <v>214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pans="1:16384" s="17" customFormat="1" ht="18">
      <c r="A3" s="259" t="s">
        <v>283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pans="1:16384">
      <c r="A4" s="67"/>
      <c r="B4" s="67"/>
      <c r="C4" s="73"/>
      <c r="D4" s="150" t="s">
        <v>130</v>
      </c>
      <c r="E4" s="67"/>
      <c r="F4" s="67"/>
      <c r="G4" s="67"/>
      <c r="H4" s="67"/>
      <c r="I4" s="27"/>
      <c r="J4" s="27"/>
      <c r="K4" s="27"/>
      <c r="L4" s="27"/>
      <c r="M4" s="27"/>
      <c r="N4" s="27"/>
      <c r="O4" s="27"/>
      <c r="P4" s="27"/>
      <c r="Q4" s="27"/>
    </row>
    <row r="5" spans="1:16384" ht="15">
      <c r="A5" s="429" t="s">
        <v>248</v>
      </c>
      <c r="B5" s="430"/>
      <c r="C5" s="431"/>
      <c r="D5" s="149" t="s">
        <v>34</v>
      </c>
      <c r="E5" s="149" t="s">
        <v>40</v>
      </c>
      <c r="F5" s="149" t="s">
        <v>42</v>
      </c>
      <c r="G5" s="149" t="s">
        <v>44</v>
      </c>
      <c r="H5" s="149" t="s">
        <v>46</v>
      </c>
      <c r="I5" s="36" t="s">
        <v>287</v>
      </c>
      <c r="J5" s="27"/>
      <c r="K5" s="27"/>
      <c r="L5" s="27"/>
      <c r="M5" s="27"/>
      <c r="N5" s="27"/>
      <c r="O5" s="27"/>
      <c r="P5" s="27"/>
      <c r="Q5" s="27"/>
    </row>
    <row r="6" spans="1:16384" ht="15">
      <c r="A6" s="475" t="s">
        <v>107</v>
      </c>
      <c r="B6" s="475"/>
      <c r="C6" s="475"/>
      <c r="D6" s="144">
        <f>SUM(D42:D48)+D70</f>
        <v>648.0012774272484</v>
      </c>
      <c r="E6" s="144">
        <f>SUM(E42:E48)+E70</f>
        <v>753.19418077859996</v>
      </c>
      <c r="F6" s="144">
        <f>SUM(F42:F48)+F70</f>
        <v>2134.9018317953969</v>
      </c>
      <c r="G6" s="144">
        <f>SUM(G42:G48)+G70</f>
        <v>162.01875670699283</v>
      </c>
      <c r="H6" s="144">
        <f>SUM(H42:H48)+H70</f>
        <v>359.75460515253775</v>
      </c>
      <c r="I6" s="36" t="s">
        <v>135</v>
      </c>
      <c r="J6" s="27"/>
      <c r="K6" s="27"/>
      <c r="L6" s="27"/>
      <c r="M6" s="27"/>
      <c r="N6" s="27"/>
      <c r="O6" s="27"/>
      <c r="P6" s="27"/>
      <c r="Q6" s="27"/>
    </row>
    <row r="7" spans="1:16384" ht="15">
      <c r="A7" s="475" t="s">
        <v>108</v>
      </c>
      <c r="B7" s="475"/>
      <c r="C7" s="475"/>
      <c r="D7" s="144">
        <f>D64+D52</f>
        <v>1099.7094410110165</v>
      </c>
      <c r="E7" s="144">
        <f>E64+E52</f>
        <v>1404.8846836632442</v>
      </c>
      <c r="F7" s="144">
        <f>F64+F52</f>
        <v>4341.7102537377359</v>
      </c>
      <c r="G7" s="144">
        <f>G64+G52</f>
        <v>173.60933762531005</v>
      </c>
      <c r="H7" s="144">
        <f>H64+H52</f>
        <v>622.10943982034246</v>
      </c>
      <c r="I7" s="36" t="s">
        <v>109</v>
      </c>
      <c r="J7" s="27"/>
      <c r="K7" s="27"/>
      <c r="L7" s="27"/>
      <c r="M7" s="27"/>
      <c r="N7" s="27"/>
      <c r="O7" s="27"/>
      <c r="P7" s="27"/>
      <c r="Q7" s="27"/>
    </row>
    <row r="8" spans="1:16384" ht="15">
      <c r="A8" s="475" t="s">
        <v>110</v>
      </c>
      <c r="B8" s="475"/>
      <c r="C8" s="475"/>
      <c r="D8" s="144">
        <f>SUM(D42:D48)+D70</f>
        <v>648.0012774272484</v>
      </c>
      <c r="E8" s="144">
        <f>SUM(E42:E48)+E70</f>
        <v>753.19418077859996</v>
      </c>
      <c r="F8" s="144">
        <f>SUM(F42:F48)+F70</f>
        <v>2134.9018317953969</v>
      </c>
      <c r="G8" s="43"/>
      <c r="H8" s="62"/>
      <c r="I8" s="36" t="s">
        <v>135</v>
      </c>
      <c r="J8" s="27"/>
      <c r="K8" s="27"/>
      <c r="L8" s="27"/>
      <c r="M8" s="27"/>
      <c r="N8" s="27"/>
      <c r="O8" s="27"/>
      <c r="P8" s="27"/>
      <c r="Q8" s="27"/>
    </row>
    <row r="9" spans="1:16384" ht="15">
      <c r="A9" s="475" t="s">
        <v>111</v>
      </c>
      <c r="B9" s="475"/>
      <c r="C9" s="475"/>
      <c r="D9" s="144">
        <f>D65+D53</f>
        <v>549.96905383884155</v>
      </c>
      <c r="E9" s="144">
        <f>E65+E53</f>
        <v>702.55667516495532</v>
      </c>
      <c r="F9" s="144">
        <f>F65+F53</f>
        <v>2170.9694602022009</v>
      </c>
      <c r="G9" s="43"/>
      <c r="H9" s="62"/>
      <c r="I9" s="36" t="s">
        <v>112</v>
      </c>
      <c r="J9" s="27"/>
      <c r="K9" s="27"/>
      <c r="L9" s="27"/>
      <c r="M9" s="27"/>
      <c r="N9" s="27"/>
      <c r="O9" s="27"/>
      <c r="P9" s="27"/>
      <c r="Q9" s="27"/>
    </row>
    <row r="10" spans="1:16384" ht="15">
      <c r="A10" s="475" t="s">
        <v>113</v>
      </c>
      <c r="B10" s="475"/>
      <c r="C10" s="475"/>
      <c r="D10" s="144">
        <f>SUM(D42:D48)+D70</f>
        <v>648.0012774272484</v>
      </c>
      <c r="E10" s="144">
        <f>SUM(E42:E48)+E70</f>
        <v>753.19418077859996</v>
      </c>
      <c r="F10" s="144">
        <f>SUM(F42:F48)+F70</f>
        <v>2134.9018317953969</v>
      </c>
      <c r="G10" s="43"/>
      <c r="H10" s="62"/>
      <c r="I10" s="36" t="s">
        <v>135</v>
      </c>
      <c r="J10" s="27"/>
      <c r="K10" s="27"/>
      <c r="L10" s="27"/>
      <c r="M10" s="27"/>
      <c r="N10" s="27"/>
      <c r="O10" s="27"/>
      <c r="P10" s="27"/>
      <c r="Q10" s="27"/>
    </row>
    <row r="11" spans="1:16384" ht="15">
      <c r="A11" s="475" t="s">
        <v>114</v>
      </c>
      <c r="B11" s="475"/>
      <c r="C11" s="475"/>
      <c r="D11" s="144">
        <f>D66+D54</f>
        <v>549.74038717217491</v>
      </c>
      <c r="E11" s="144">
        <f>E66+E54</f>
        <v>702.32800849828868</v>
      </c>
      <c r="F11" s="144">
        <f>F66+F54</f>
        <v>2170.7407935355345</v>
      </c>
      <c r="G11" s="67"/>
      <c r="H11" s="71"/>
      <c r="I11" s="36" t="s">
        <v>112</v>
      </c>
      <c r="J11" s="27"/>
      <c r="K11" s="27"/>
      <c r="L11" s="27"/>
      <c r="M11" s="27"/>
      <c r="N11" s="27"/>
      <c r="O11" s="27"/>
      <c r="P11" s="27"/>
      <c r="Q11" s="27"/>
    </row>
    <row r="12" spans="1:16384" s="22" customFormat="1" ht="15">
      <c r="A12" s="117"/>
      <c r="B12" s="117"/>
      <c r="C12" s="117"/>
      <c r="D12" s="84"/>
      <c r="E12" s="84"/>
      <c r="F12" s="84"/>
      <c r="G12" s="43"/>
      <c r="H12" s="43"/>
      <c r="I12" s="36"/>
      <c r="J12" s="27"/>
      <c r="K12" s="27"/>
      <c r="L12" s="27"/>
      <c r="M12" s="27"/>
      <c r="N12" s="27"/>
      <c r="O12" s="27"/>
      <c r="P12" s="27"/>
      <c r="Q12" s="27"/>
    </row>
    <row r="13" spans="1:16384" ht="15" customHeight="1">
      <c r="A13" s="464" t="s">
        <v>376</v>
      </c>
      <c r="B13" s="465"/>
      <c r="C13" s="466"/>
      <c r="D13" s="463" t="s">
        <v>34</v>
      </c>
      <c r="E13" s="463" t="s">
        <v>40</v>
      </c>
      <c r="F13" s="463" t="s">
        <v>42</v>
      </c>
      <c r="G13" s="463" t="s">
        <v>44</v>
      </c>
      <c r="H13" s="463" t="s">
        <v>46</v>
      </c>
      <c r="J13" s="27"/>
      <c r="K13" s="27"/>
      <c r="L13" s="27"/>
      <c r="M13" s="27"/>
      <c r="N13" s="27"/>
      <c r="O13" s="27"/>
      <c r="P13" s="27"/>
    </row>
    <row r="14" spans="1:16384" s="22" customFormat="1" ht="15" customHeight="1">
      <c r="A14" s="467"/>
      <c r="B14" s="468"/>
      <c r="C14" s="469"/>
      <c r="D14" s="463"/>
      <c r="E14" s="463"/>
      <c r="F14" s="463"/>
      <c r="G14" s="463"/>
      <c r="H14" s="463"/>
      <c r="I14" s="36"/>
      <c r="J14" s="27"/>
      <c r="K14" s="27"/>
      <c r="L14" s="27"/>
      <c r="M14" s="27"/>
      <c r="N14" s="27"/>
      <c r="O14" s="27"/>
      <c r="P14" s="27"/>
    </row>
    <row r="15" spans="1:16384" s="22" customFormat="1">
      <c r="A15" s="477" t="s">
        <v>47</v>
      </c>
      <c r="B15" s="477"/>
      <c r="C15" s="477"/>
      <c r="D15" s="144">
        <f>D6+D7+D58</f>
        <v>2148.3159271436271</v>
      </c>
      <c r="E15" s="144">
        <f>E6+E7+E58</f>
        <v>2558.6840731472066</v>
      </c>
      <c r="F15" s="144">
        <f>F6+F7+F58</f>
        <v>6877.217294238495</v>
      </c>
      <c r="G15" s="144">
        <f>G6+G7+G58</f>
        <v>736.233303037665</v>
      </c>
      <c r="H15" s="144">
        <f>H6+H7+H58</f>
        <v>1382.4692536782422</v>
      </c>
      <c r="I15" s="375"/>
      <c r="J15" s="27"/>
      <c r="K15" s="27"/>
      <c r="L15" s="27"/>
      <c r="M15" s="27"/>
      <c r="N15" s="27"/>
      <c r="O15" s="27"/>
      <c r="P15" s="27"/>
    </row>
    <row r="16" spans="1:16384" s="22" customFormat="1">
      <c r="A16" s="477" t="s">
        <v>48</v>
      </c>
      <c r="B16" s="477"/>
      <c r="C16" s="477"/>
      <c r="D16" s="144">
        <f>D8+D9+D59</f>
        <v>1598.5755399714521</v>
      </c>
      <c r="E16" s="144">
        <f>E8+E9+E59</f>
        <v>1856.3560646489173</v>
      </c>
      <c r="F16" s="144">
        <f>F8+F9+F59</f>
        <v>4706.47650070296</v>
      </c>
      <c r="G16" s="64"/>
      <c r="H16" s="65"/>
      <c r="I16" s="375"/>
      <c r="J16" s="27"/>
      <c r="K16" s="27"/>
      <c r="L16" s="27"/>
      <c r="M16" s="27"/>
      <c r="N16" s="27"/>
      <c r="O16" s="27"/>
      <c r="P16" s="27"/>
    </row>
    <row r="17" spans="1:16" s="22" customFormat="1">
      <c r="A17" s="477" t="s">
        <v>49</v>
      </c>
      <c r="B17" s="477"/>
      <c r="C17" s="477"/>
      <c r="D17" s="144">
        <f>D10+D11+D60</f>
        <v>1197.7416645994233</v>
      </c>
      <c r="E17" s="144">
        <f>E10+E11+E60</f>
        <v>1455.5221892768886</v>
      </c>
      <c r="F17" s="144">
        <f>F10+F11+F60</f>
        <v>4305.642625330931</v>
      </c>
      <c r="G17" s="66"/>
      <c r="H17" s="71"/>
      <c r="I17" s="36"/>
      <c r="J17" s="27"/>
      <c r="K17" s="27"/>
      <c r="L17" s="27"/>
      <c r="M17" s="27"/>
      <c r="N17" s="27"/>
      <c r="O17" s="27"/>
      <c r="P17" s="27"/>
    </row>
    <row r="18" spans="1:16" s="22" customFormat="1">
      <c r="A18" s="27"/>
      <c r="B18" s="27"/>
      <c r="C18" s="27"/>
      <c r="D18" s="27"/>
      <c r="E18" s="27"/>
      <c r="F18" s="27"/>
      <c r="G18" s="27"/>
      <c r="H18" s="27"/>
      <c r="I18" s="36"/>
      <c r="J18" s="27"/>
      <c r="K18" s="27"/>
      <c r="L18" s="27"/>
      <c r="M18" s="27"/>
      <c r="N18" s="27"/>
      <c r="O18" s="27"/>
      <c r="P18" s="27"/>
    </row>
    <row r="19" spans="1:16" s="22" customFormat="1" ht="18">
      <c r="A19" s="259" t="s">
        <v>284</v>
      </c>
      <c r="B19" s="27"/>
      <c r="C19" s="257"/>
      <c r="D19" s="27"/>
      <c r="E19" s="27"/>
      <c r="F19" s="27"/>
      <c r="G19" s="27"/>
      <c r="H19" s="27"/>
      <c r="I19" s="36"/>
      <c r="J19" s="27"/>
      <c r="K19" s="27"/>
      <c r="L19" s="27"/>
      <c r="M19" s="27"/>
      <c r="N19" s="27"/>
      <c r="O19" s="27"/>
      <c r="P19" s="27"/>
    </row>
    <row r="20" spans="1:16" s="22" customFormat="1">
      <c r="A20" s="27"/>
      <c r="B20" s="27"/>
      <c r="C20" s="27"/>
      <c r="D20" s="27"/>
      <c r="E20" s="27"/>
      <c r="F20" s="27"/>
      <c r="G20" s="27"/>
      <c r="H20" s="27"/>
      <c r="I20" s="36"/>
      <c r="J20" s="27"/>
      <c r="K20" s="27"/>
      <c r="L20" s="27"/>
      <c r="M20" s="27"/>
      <c r="N20" s="27"/>
      <c r="O20" s="27"/>
      <c r="P20" s="27"/>
    </row>
    <row r="21" spans="1:16" s="22" customFormat="1" ht="12" customHeight="1">
      <c r="A21" s="27"/>
      <c r="B21" s="27"/>
      <c r="C21" s="163" t="s">
        <v>285</v>
      </c>
      <c r="D21" s="171" t="s">
        <v>34</v>
      </c>
      <c r="E21" s="171" t="s">
        <v>40</v>
      </c>
      <c r="F21" s="171" t="s">
        <v>42</v>
      </c>
      <c r="G21" s="171" t="s">
        <v>44</v>
      </c>
      <c r="H21" s="171" t="s">
        <v>46</v>
      </c>
      <c r="I21" s="493" t="s">
        <v>344</v>
      </c>
      <c r="J21" s="440"/>
      <c r="K21" s="440"/>
      <c r="L21" s="440"/>
      <c r="M21" s="440"/>
      <c r="N21" s="440"/>
      <c r="O21" s="440"/>
      <c r="P21" s="27"/>
    </row>
    <row r="22" spans="1:16" s="22" customFormat="1" ht="12" customHeight="1">
      <c r="A22" s="27"/>
      <c r="B22" s="27"/>
      <c r="C22" s="164" t="s">
        <v>47</v>
      </c>
      <c r="D22" s="260">
        <f>(D6+D7+D58)/63</f>
        <v>34.100252811803607</v>
      </c>
      <c r="E22" s="260">
        <f>(E6+E7+E58)/252</f>
        <v>10.15350822677463</v>
      </c>
      <c r="F22" s="260">
        <f>(F6+F7+F58)/1008</f>
        <v>6.8226362046016815</v>
      </c>
      <c r="G22" s="260">
        <f>(G6+G7+G58)/4</f>
        <v>184.05832575941625</v>
      </c>
      <c r="H22" s="260">
        <f>(H6+H7+H58)/16</f>
        <v>86.40432835489014</v>
      </c>
      <c r="I22" s="493"/>
      <c r="J22" s="440"/>
      <c r="K22" s="440"/>
      <c r="L22" s="440"/>
      <c r="M22" s="440"/>
      <c r="N22" s="440"/>
      <c r="O22" s="440"/>
      <c r="P22" s="308"/>
    </row>
    <row r="23" spans="1:16" s="22" customFormat="1">
      <c r="A23" s="27"/>
      <c r="B23" s="27"/>
      <c r="C23" s="164" t="s">
        <v>48</v>
      </c>
      <c r="D23" s="260">
        <f>(D8+D9+D59)/63</f>
        <v>25.374214920181782</v>
      </c>
      <c r="E23" s="260">
        <f>(E8+E9+E59)/252</f>
        <v>7.3664923200353858</v>
      </c>
      <c r="F23" s="260">
        <f>(F8+F9+F59)/1008</f>
        <v>4.6691235126021429</v>
      </c>
      <c r="G23" s="470"/>
      <c r="H23" s="471"/>
      <c r="I23" s="493" t="s">
        <v>286</v>
      </c>
      <c r="J23" s="440"/>
      <c r="K23" s="440"/>
      <c r="L23" s="440"/>
      <c r="M23" s="440"/>
      <c r="N23" s="440"/>
      <c r="O23" s="440"/>
      <c r="P23" s="308"/>
    </row>
    <row r="24" spans="1:16" s="22" customFormat="1">
      <c r="A24" s="27"/>
      <c r="B24" s="27"/>
      <c r="C24" s="164" t="s">
        <v>49</v>
      </c>
      <c r="D24" s="260">
        <f>(D10+D11)/63</f>
        <v>19.0117724539591</v>
      </c>
      <c r="E24" s="260">
        <f>(E10+E11)/252</f>
        <v>5.7758817034797172</v>
      </c>
      <c r="F24" s="260">
        <f>(F10+F11)/1008</f>
        <v>4.2714708584632248</v>
      </c>
      <c r="G24" s="472"/>
      <c r="H24" s="473"/>
      <c r="I24" s="493"/>
      <c r="J24" s="440"/>
      <c r="K24" s="440"/>
      <c r="L24" s="440"/>
      <c r="M24" s="440"/>
      <c r="N24" s="440"/>
      <c r="O24" s="440"/>
      <c r="P24" s="27"/>
    </row>
    <row r="25" spans="1:16" s="22" customFormat="1">
      <c r="A25" s="27"/>
      <c r="B25" s="27"/>
      <c r="C25" s="27"/>
      <c r="G25" s="27"/>
      <c r="H25" s="27"/>
      <c r="P25" s="27"/>
    </row>
    <row r="26" spans="1:16" s="22" customFormat="1" ht="18">
      <c r="A26" s="259" t="s">
        <v>302</v>
      </c>
      <c r="B26" s="27"/>
      <c r="C26" s="27"/>
      <c r="G26" s="27"/>
      <c r="H26" s="27"/>
      <c r="P26" s="27"/>
    </row>
    <row r="27" spans="1:16" s="22" customFormat="1">
      <c r="A27" s="27"/>
      <c r="B27" s="27"/>
      <c r="C27" s="27"/>
      <c r="G27" s="27"/>
      <c r="H27" s="27"/>
      <c r="I27" s="36"/>
      <c r="J27" s="27"/>
      <c r="K27" s="27"/>
      <c r="L27" s="27"/>
      <c r="M27" s="27"/>
      <c r="N27" s="27"/>
      <c r="O27" s="27"/>
      <c r="P27" s="27"/>
    </row>
    <row r="28" spans="1:16" s="22" customFormat="1">
      <c r="A28" s="27"/>
      <c r="B28" s="27"/>
      <c r="C28" s="87"/>
      <c r="D28" s="255" t="s">
        <v>34</v>
      </c>
      <c r="E28" s="255" t="s">
        <v>40</v>
      </c>
      <c r="F28" s="255" t="s">
        <v>42</v>
      </c>
      <c r="G28" s="255" t="s">
        <v>44</v>
      </c>
      <c r="H28" s="255" t="s">
        <v>46</v>
      </c>
      <c r="I28" s="36"/>
      <c r="J28" s="27"/>
      <c r="K28" s="27"/>
      <c r="L28" s="27"/>
      <c r="M28" s="27"/>
      <c r="N28" s="27"/>
      <c r="O28" s="27"/>
      <c r="P28" s="27"/>
    </row>
    <row r="29" spans="1:16" s="22" customFormat="1">
      <c r="A29" s="27"/>
      <c r="B29" s="34"/>
      <c r="C29" s="252" t="s">
        <v>303</v>
      </c>
      <c r="D29" s="173">
        <f>SUM(D42:D48)+D58+D64+D70</f>
        <v>1549.2689677662117</v>
      </c>
      <c r="E29" s="173">
        <f t="shared" ref="E29:H29" si="0">SUM(E42:E48)+E58+E64+E70</f>
        <v>1844.4618711175631</v>
      </c>
      <c r="F29" s="173">
        <f t="shared" si="0"/>
        <v>4650.1695221343607</v>
      </c>
      <c r="G29" s="173">
        <f t="shared" si="0"/>
        <v>669.28644704595604</v>
      </c>
      <c r="H29" s="173">
        <f t="shared" si="0"/>
        <v>1099.0222954915012</v>
      </c>
      <c r="I29" s="36" t="s">
        <v>342</v>
      </c>
      <c r="J29" s="27"/>
      <c r="L29" s="27"/>
      <c r="M29" s="27"/>
      <c r="N29" s="27"/>
      <c r="O29" s="27"/>
      <c r="P29" s="27"/>
    </row>
    <row r="30" spans="1:16" s="22" customFormat="1">
      <c r="A30" s="27"/>
      <c r="B30" s="34"/>
      <c r="C30" s="252" t="s">
        <v>304</v>
      </c>
      <c r="D30" s="275">
        <f>F77</f>
        <v>95</v>
      </c>
      <c r="E30" s="275">
        <f>F82</f>
        <v>195</v>
      </c>
      <c r="F30" s="275">
        <f>F86</f>
        <v>52</v>
      </c>
      <c r="G30" s="277">
        <f>F90</f>
        <v>716</v>
      </c>
      <c r="H30" s="277">
        <f>F91</f>
        <v>1194</v>
      </c>
      <c r="I30" s="36"/>
      <c r="J30" s="27"/>
      <c r="L30" s="27"/>
      <c r="M30" s="27"/>
      <c r="N30" s="27"/>
      <c r="O30" s="27"/>
      <c r="P30" s="27"/>
    </row>
    <row r="31" spans="1:16" s="22" customFormat="1">
      <c r="A31" s="27"/>
      <c r="B31" s="34"/>
      <c r="C31" s="252" t="s">
        <v>308</v>
      </c>
      <c r="D31" s="173">
        <f>SUM(D42:D48)+D59+D65+D70</f>
        <v>1299.0520602827446</v>
      </c>
      <c r="E31" s="173">
        <f t="shared" ref="E31:F31" si="1">SUM(E42:E48)+E59+E65+E70</f>
        <v>1499.2449636340959</v>
      </c>
      <c r="F31" s="221">
        <f t="shared" si="1"/>
        <v>3592.9526146508933</v>
      </c>
      <c r="G31" s="64"/>
      <c r="H31" s="65"/>
      <c r="I31" s="36"/>
      <c r="J31" s="27"/>
      <c r="L31" s="27"/>
      <c r="M31" s="27"/>
      <c r="N31" s="27"/>
      <c r="O31" s="27"/>
      <c r="P31" s="27"/>
    </row>
    <row r="32" spans="1:16" s="22" customFormat="1">
      <c r="A32" s="27"/>
      <c r="B32" s="34"/>
      <c r="C32" s="252" t="s">
        <v>307</v>
      </c>
      <c r="D32" s="275">
        <f>F78</f>
        <v>0</v>
      </c>
      <c r="E32" s="275">
        <f>F83</f>
        <v>60</v>
      </c>
      <c r="F32" s="276">
        <f>F87</f>
        <v>29</v>
      </c>
      <c r="G32" s="58"/>
      <c r="H32" s="62"/>
      <c r="I32" s="36"/>
      <c r="J32" s="27"/>
      <c r="L32" s="27"/>
      <c r="M32" s="27"/>
      <c r="N32" s="27"/>
      <c r="O32" s="27"/>
      <c r="P32" s="27"/>
    </row>
    <row r="33" spans="1:19" s="22" customFormat="1">
      <c r="A33" s="27"/>
      <c r="B33" s="34"/>
      <c r="C33" s="252" t="s">
        <v>305</v>
      </c>
      <c r="D33" s="173">
        <f>SUM(D42:D48)+D60+D66+D70</f>
        <v>898.21818491071576</v>
      </c>
      <c r="E33" s="173">
        <f>SUM(E42:E48)+E60+E66+E70</f>
        <v>1098.4110882620673</v>
      </c>
      <c r="F33" s="221">
        <f t="shared" ref="F33" si="2">SUM(F42:F48)+F60+F66+F70</f>
        <v>3192.1187392788643</v>
      </c>
      <c r="G33" s="58"/>
      <c r="H33" s="62"/>
      <c r="I33" s="36"/>
      <c r="J33" s="27"/>
      <c r="K33" s="274"/>
      <c r="L33" s="27"/>
      <c r="M33" s="27"/>
      <c r="N33" s="27"/>
      <c r="O33" s="27"/>
      <c r="P33" s="27"/>
    </row>
    <row r="34" spans="1:19" s="22" customFormat="1">
      <c r="A34" s="27"/>
      <c r="B34" s="27"/>
      <c r="C34" s="252" t="s">
        <v>306</v>
      </c>
      <c r="D34" s="275">
        <f>F79</f>
        <v>12</v>
      </c>
      <c r="E34" s="275">
        <f>F84</f>
        <v>307</v>
      </c>
      <c r="F34" s="276">
        <f>F88</f>
        <v>110</v>
      </c>
      <c r="G34" s="58"/>
      <c r="H34" s="62"/>
      <c r="I34" s="36"/>
      <c r="J34" s="27"/>
      <c r="L34" s="27"/>
      <c r="M34" s="27"/>
      <c r="N34" s="27"/>
      <c r="O34" s="27"/>
      <c r="P34" s="27"/>
    </row>
    <row r="35" spans="1:19" s="22" customFormat="1">
      <c r="A35" s="27"/>
      <c r="B35" s="27"/>
      <c r="C35" s="252" t="s">
        <v>309</v>
      </c>
      <c r="D35" s="173">
        <f>SUM(D42:D48)+D58+D64+D70</f>
        <v>1549.2689677662117</v>
      </c>
      <c r="E35" s="173">
        <f t="shared" ref="E35:F35" si="3">SUM(E42:E48)+E58+E64+E70</f>
        <v>1844.4618711175631</v>
      </c>
      <c r="F35" s="221">
        <f t="shared" si="3"/>
        <v>4650.1695221343607</v>
      </c>
      <c r="G35" s="58"/>
      <c r="H35" s="62"/>
      <c r="I35" s="36" t="s">
        <v>343</v>
      </c>
      <c r="J35" s="27"/>
      <c r="L35" s="27"/>
      <c r="M35" s="27"/>
      <c r="N35" s="27"/>
      <c r="O35" s="27"/>
      <c r="P35" s="27"/>
    </row>
    <row r="36" spans="1:19" s="22" customFormat="1">
      <c r="A36" s="27"/>
      <c r="B36" s="27"/>
      <c r="C36" s="252" t="s">
        <v>310</v>
      </c>
      <c r="D36" s="275">
        <f>F80+F81</f>
        <v>135</v>
      </c>
      <c r="E36" s="275">
        <f>F85</f>
        <v>57</v>
      </c>
      <c r="F36" s="276">
        <f>F89</f>
        <v>12</v>
      </c>
      <c r="G36" s="66"/>
      <c r="H36" s="71"/>
      <c r="I36" s="36"/>
      <c r="J36" s="27"/>
      <c r="L36" s="27"/>
      <c r="M36" s="27"/>
      <c r="N36" s="27"/>
      <c r="O36" s="27"/>
      <c r="P36" s="27"/>
    </row>
    <row r="37" spans="1:19" s="22" customFormat="1">
      <c r="A37" s="27"/>
      <c r="B37" s="27"/>
      <c r="C37" s="252" t="s">
        <v>77</v>
      </c>
      <c r="D37" s="173">
        <f>D29*D30+D31*D32+D33*D34+D35*D36</f>
        <v>367110.48080515728</v>
      </c>
      <c r="E37" s="173">
        <f t="shared" ref="E37:F37" si="4">E29*E30+E31*E32+E33*E34+E35*E36</f>
        <v>891971.29343612632</v>
      </c>
      <c r="F37" s="173">
        <f t="shared" si="4"/>
        <v>752939.53656215011</v>
      </c>
      <c r="G37" s="278">
        <f>G29*G30</f>
        <v>479209.09608490451</v>
      </c>
      <c r="H37" s="278">
        <f>H29*H30</f>
        <v>1312232.6208168524</v>
      </c>
      <c r="I37" s="368">
        <f>SUM(D37:H37)</f>
        <v>3803463.0277051907</v>
      </c>
      <c r="J37" s="36" t="s">
        <v>311</v>
      </c>
      <c r="L37" s="27"/>
      <c r="M37" s="27"/>
      <c r="N37" s="27"/>
      <c r="O37" s="27"/>
      <c r="P37" s="27"/>
    </row>
    <row r="38" spans="1:19" s="22" customFormat="1">
      <c r="A38" s="27"/>
      <c r="B38" s="27"/>
      <c r="C38" s="27"/>
      <c r="G38" s="27"/>
      <c r="H38" s="27"/>
      <c r="I38" s="36"/>
      <c r="J38" s="27"/>
      <c r="L38" s="27"/>
      <c r="M38" s="27"/>
      <c r="N38" s="27"/>
      <c r="O38" s="27"/>
      <c r="P38" s="27"/>
    </row>
    <row r="39" spans="1:19" ht="18">
      <c r="A39" s="258" t="s">
        <v>282</v>
      </c>
      <c r="C39" s="43"/>
      <c r="D39" s="43"/>
      <c r="E39" s="43"/>
      <c r="F39" s="43"/>
      <c r="G39" s="43"/>
      <c r="H39" s="43"/>
      <c r="J39" s="27"/>
      <c r="L39" s="27"/>
      <c r="M39" s="27"/>
      <c r="N39" s="27"/>
    </row>
    <row r="40" spans="1:19">
      <c r="A40" s="27"/>
      <c r="D40" s="150" t="s">
        <v>127</v>
      </c>
      <c r="E40" s="67"/>
      <c r="F40" s="67"/>
      <c r="G40" s="67"/>
      <c r="H40" s="67"/>
      <c r="J40" s="27"/>
      <c r="L40" s="27"/>
      <c r="M40" s="27"/>
      <c r="N40" s="27"/>
    </row>
    <row r="41" spans="1:19" ht="15">
      <c r="A41" s="27"/>
      <c r="B41" s="78" t="s">
        <v>249</v>
      </c>
      <c r="C41" s="79"/>
      <c r="D41" s="149" t="s">
        <v>34</v>
      </c>
      <c r="E41" s="149" t="s">
        <v>40</v>
      </c>
      <c r="F41" s="149" t="s">
        <v>42</v>
      </c>
      <c r="G41" s="149" t="s">
        <v>44</v>
      </c>
      <c r="H41" s="149" t="s">
        <v>46</v>
      </c>
      <c r="I41" s="27"/>
      <c r="J41" s="27"/>
      <c r="K41" s="274"/>
      <c r="L41" s="27"/>
      <c r="M41" s="27"/>
      <c r="N41" s="27"/>
    </row>
    <row r="42" spans="1:19" ht="15">
      <c r="A42" s="27"/>
      <c r="B42" s="475" t="s">
        <v>120</v>
      </c>
      <c r="C42" s="475"/>
      <c r="D42" s="144">
        <f>'Operational costs'!C49</f>
        <v>41.524559999999994</v>
      </c>
      <c r="E42" s="144">
        <f>'Operational costs'!D49</f>
        <v>55.7256</v>
      </c>
      <c r="F42" s="144">
        <f>'Operational costs'!E49</f>
        <v>179.76</v>
      </c>
      <c r="G42" s="144">
        <f>'Operational costs'!F49</f>
        <v>4.9829471999999999</v>
      </c>
      <c r="H42" s="144">
        <f>'Operational costs'!G49</f>
        <v>24.914735999999998</v>
      </c>
      <c r="I42" s="27"/>
      <c r="K42" s="274"/>
      <c r="R42" s="27"/>
      <c r="S42" s="27"/>
    </row>
    <row r="43" spans="1:19" ht="15" customHeight="1">
      <c r="A43" s="27"/>
      <c r="B43" s="475" t="s">
        <v>71</v>
      </c>
      <c r="C43" s="475"/>
      <c r="D43" s="144">
        <f>'Operational costs'!C50</f>
        <v>311.01978494623648</v>
      </c>
      <c r="E43" s="144">
        <f>'Operational costs'!D50</f>
        <v>311.01978494623648</v>
      </c>
      <c r="F43" s="144">
        <f>'Operational costs'!E50</f>
        <v>933.05935483870951</v>
      </c>
      <c r="G43" s="144">
        <f>'Operational costs'!F50</f>
        <v>37.322374193548377</v>
      </c>
      <c r="H43" s="144">
        <f>'Operational costs'!G50</f>
        <v>186.61187096774191</v>
      </c>
      <c r="I43" s="27"/>
      <c r="K43" s="274"/>
      <c r="R43" s="27"/>
    </row>
    <row r="44" spans="1:19" ht="15">
      <c r="A44" s="27"/>
      <c r="B44" s="475" t="s">
        <v>72</v>
      </c>
      <c r="C44" s="475"/>
      <c r="D44" s="144">
        <f>'Operational costs'!C51</f>
        <v>113.59424999999999</v>
      </c>
      <c r="E44" s="144">
        <f>'Operational costs'!D51</f>
        <v>167.68674999999999</v>
      </c>
      <c r="F44" s="144">
        <f>'Operational costs'!E51</f>
        <v>540.92499999999995</v>
      </c>
      <c r="G44" s="144">
        <f>'Operational costs'!F51</f>
        <v>10.8185</v>
      </c>
      <c r="H44" s="144">
        <f>'Operational costs'!G51</f>
        <v>24.882549999999998</v>
      </c>
      <c r="I44" s="27"/>
    </row>
    <row r="45" spans="1:19" ht="15">
      <c r="A45" s="27"/>
      <c r="B45" s="475" t="s">
        <v>73</v>
      </c>
      <c r="C45" s="475"/>
      <c r="D45" s="144">
        <f>'Operational costs'!C52</f>
        <v>15.282437837837836</v>
      </c>
      <c r="E45" s="144">
        <f>'Operational costs'!D52</f>
        <v>22.559789189189189</v>
      </c>
      <c r="F45" s="144">
        <f>'Operational costs'!E52</f>
        <v>72.773513513513507</v>
      </c>
      <c r="G45" s="144">
        <f>'Operational costs'!F52</f>
        <v>1.4554702702702702</v>
      </c>
      <c r="H45" s="144">
        <f>'Operational costs'!G52</f>
        <v>3.3475816216216212</v>
      </c>
      <c r="I45" s="27"/>
    </row>
    <row r="46" spans="1:19" ht="15">
      <c r="A46" s="27"/>
      <c r="B46" s="475" t="s">
        <v>74</v>
      </c>
      <c r="C46" s="475"/>
      <c r="D46" s="144">
        <f>'Operational costs'!C53</f>
        <v>0.97019999999999984</v>
      </c>
      <c r="E46" s="144">
        <f>'Operational costs'!D53</f>
        <v>1.4321999999999999</v>
      </c>
      <c r="F46" s="144">
        <f>'Operational costs'!E53</f>
        <v>4.6199999999999992</v>
      </c>
      <c r="G46" s="144">
        <f>'Operational costs'!F53</f>
        <v>9.2399999999999982E-2</v>
      </c>
      <c r="H46" s="144">
        <f>'Operational costs'!G53</f>
        <v>0.21251999999999996</v>
      </c>
      <c r="I46" s="27"/>
    </row>
    <row r="47" spans="1:19" ht="15">
      <c r="A47" s="27"/>
      <c r="B47" s="475" t="s">
        <v>75</v>
      </c>
      <c r="C47" s="475"/>
      <c r="D47" s="144">
        <f>'Operational costs'!C54</f>
        <v>52.317241199999998</v>
      </c>
      <c r="E47" s="144">
        <f>'Operational costs'!D54</f>
        <v>77.230213199999994</v>
      </c>
      <c r="F47" s="144">
        <f>'Operational costs'!E54</f>
        <v>249.12971999999996</v>
      </c>
      <c r="G47" s="144">
        <f>'Operational costs'!F54</f>
        <v>4.9825944</v>
      </c>
      <c r="H47" s="144">
        <f>'Operational costs'!G54</f>
        <v>11.459967119999998</v>
      </c>
      <c r="I47" s="27"/>
    </row>
    <row r="48" spans="1:19" ht="15">
      <c r="A48" s="27"/>
      <c r="B48" s="475" t="s">
        <v>76</v>
      </c>
      <c r="C48" s="475"/>
      <c r="D48" s="144">
        <f>'Operational costs'!C55</f>
        <v>12.418559999999999</v>
      </c>
      <c r="E48" s="144">
        <f>'Operational costs'!D55</f>
        <v>16.665599999999998</v>
      </c>
      <c r="F48" s="144">
        <f>'Operational costs'!E55</f>
        <v>53.76</v>
      </c>
      <c r="G48" s="144">
        <f>'Operational costs'!F55</f>
        <v>1.4902272000000001</v>
      </c>
      <c r="H48" s="144">
        <f>'Operational costs'!G55</f>
        <v>7.451136</v>
      </c>
      <c r="I48" s="27"/>
    </row>
    <row r="49" spans="1:17" ht="15">
      <c r="A49" s="27"/>
      <c r="B49" s="27"/>
      <c r="C49" s="38"/>
      <c r="D49" s="50"/>
      <c r="E49" s="50"/>
      <c r="F49" s="50"/>
      <c r="G49" s="50"/>
      <c r="H49" s="50"/>
      <c r="I49" s="27"/>
    </row>
    <row r="50" spans="1:17">
      <c r="A50" s="27"/>
      <c r="B50" s="67"/>
      <c r="C50" s="73"/>
      <c r="D50" s="150" t="s">
        <v>127</v>
      </c>
      <c r="E50" s="151"/>
      <c r="F50" s="151"/>
      <c r="G50" s="67"/>
      <c r="H50" s="67"/>
      <c r="I50" s="27"/>
    </row>
    <row r="51" spans="1:17" ht="15">
      <c r="A51" s="27"/>
      <c r="B51" s="58"/>
      <c r="C51" s="117" t="s">
        <v>82</v>
      </c>
      <c r="D51" s="149" t="s">
        <v>34</v>
      </c>
      <c r="E51" s="149" t="s">
        <v>40</v>
      </c>
      <c r="F51" s="149" t="s">
        <v>42</v>
      </c>
      <c r="G51" s="149" t="s">
        <v>44</v>
      </c>
      <c r="H51" s="149" t="s">
        <v>46</v>
      </c>
      <c r="I51" s="27"/>
    </row>
    <row r="52" spans="1:17" ht="15">
      <c r="A52" s="27"/>
      <c r="B52" s="58"/>
      <c r="C52" s="147" t="s">
        <v>47</v>
      </c>
      <c r="D52" s="144">
        <f>'Operational costs'!C77</f>
        <v>599.04695937741519</v>
      </c>
      <c r="E52" s="144">
        <f>'Operational costs'!D77</f>
        <v>714.22220202964286</v>
      </c>
      <c r="F52" s="144">
        <f>'Operational costs'!E77</f>
        <v>2227.0477721041343</v>
      </c>
      <c r="G52" s="144">
        <f>'Operational costs'!F77</f>
        <v>66.946855991708816</v>
      </c>
      <c r="H52" s="144">
        <f>'Operational costs'!G77</f>
        <v>283.44695818674126</v>
      </c>
      <c r="I52" s="27"/>
    </row>
    <row r="53" spans="1:17" ht="15">
      <c r="A53" s="27"/>
      <c r="B53" s="58"/>
      <c r="C53" s="146" t="s">
        <v>48</v>
      </c>
      <c r="D53" s="148">
        <f>'Operational costs'!C78</f>
        <v>299.5234796887076</v>
      </c>
      <c r="E53" s="148">
        <f>'Operational costs'!D78</f>
        <v>357.11110101482143</v>
      </c>
      <c r="F53" s="148">
        <f>'Operational costs'!E78</f>
        <v>1113.5238860520672</v>
      </c>
      <c r="G53" s="46"/>
      <c r="H53" s="59"/>
      <c r="I53" s="27"/>
    </row>
    <row r="54" spans="1:17" ht="15">
      <c r="A54" s="27"/>
      <c r="B54" s="66"/>
      <c r="C54" s="146" t="s">
        <v>49</v>
      </c>
      <c r="D54" s="144">
        <f>'Operational costs'!C79</f>
        <v>299.5234796887076</v>
      </c>
      <c r="E54" s="144">
        <f>'Operational costs'!D79</f>
        <v>357.11110101482143</v>
      </c>
      <c r="F54" s="144">
        <f>'Operational costs'!E79</f>
        <v>1113.5238860520672</v>
      </c>
      <c r="G54" s="85"/>
      <c r="H54" s="86"/>
      <c r="I54" s="27"/>
    </row>
    <row r="55" spans="1:17" ht="15">
      <c r="A55" s="27"/>
      <c r="B55" s="43"/>
      <c r="C55" s="90"/>
      <c r="D55" s="84"/>
      <c r="E55" s="84"/>
      <c r="F55" s="84"/>
      <c r="G55" s="46"/>
      <c r="H55" s="46"/>
      <c r="I55" s="27"/>
    </row>
    <row r="56" spans="1:17">
      <c r="A56" s="27"/>
      <c r="D56" s="150" t="s">
        <v>194</v>
      </c>
      <c r="E56" s="151"/>
      <c r="F56" s="151"/>
      <c r="G56" s="67"/>
      <c r="H56" s="67"/>
      <c r="I56" s="27"/>
    </row>
    <row r="57" spans="1:17" ht="15">
      <c r="A57" s="27"/>
      <c r="B57" s="64"/>
      <c r="C57" s="81" t="s">
        <v>168</v>
      </c>
      <c r="D57" s="149" t="s">
        <v>34</v>
      </c>
      <c r="E57" s="149" t="s">
        <v>40</v>
      </c>
      <c r="F57" s="149" t="s">
        <v>42</v>
      </c>
      <c r="G57" s="149" t="s">
        <v>44</v>
      </c>
      <c r="H57" s="149" t="s">
        <v>46</v>
      </c>
      <c r="I57" s="27"/>
    </row>
    <row r="58" spans="1:17" ht="15">
      <c r="A58" s="27"/>
      <c r="B58" s="58"/>
      <c r="C58" s="147" t="s">
        <v>47</v>
      </c>
      <c r="D58" s="144">
        <f>'Duct and fibre costs'!C22</f>
        <v>400.60520870536209</v>
      </c>
      <c r="E58" s="144">
        <f>'Duct and fibre costs'!D22</f>
        <v>400.60520870536209</v>
      </c>
      <c r="F58" s="144">
        <f>'Duct and fibre costs'!E22</f>
        <v>400.60520870536209</v>
      </c>
      <c r="G58" s="144">
        <f>'Duct and fibre costs'!F22</f>
        <v>400.60520870536209</v>
      </c>
      <c r="H58" s="144">
        <f>'Duct and fibre costs'!G22</f>
        <v>400.60520870536209</v>
      </c>
      <c r="I58" s="27"/>
    </row>
    <row r="59" spans="1:17" ht="15">
      <c r="A59" s="27"/>
      <c r="B59" s="58"/>
      <c r="C59" s="146" t="s">
        <v>48</v>
      </c>
      <c r="D59" s="148">
        <f>'Duct and fibre costs'!C23</f>
        <v>400.60520870536209</v>
      </c>
      <c r="E59" s="148">
        <f>'Duct and fibre costs'!D23</f>
        <v>400.60520870536209</v>
      </c>
      <c r="F59" s="148">
        <f>'Duct and fibre costs'!E23</f>
        <v>400.60520870536209</v>
      </c>
      <c r="G59" s="84"/>
      <c r="H59" s="59"/>
      <c r="I59" s="27"/>
    </row>
    <row r="60" spans="1:17" ht="15">
      <c r="A60" s="27"/>
      <c r="B60" s="66"/>
      <c r="C60" s="146" t="s">
        <v>49</v>
      </c>
      <c r="D60" s="144">
        <f>'Duct and fibre costs'!C24</f>
        <v>0</v>
      </c>
      <c r="E60" s="144">
        <f>'Duct and fibre costs'!D24</f>
        <v>0</v>
      </c>
      <c r="F60" s="144">
        <f>'Duct and fibre costs'!E24</f>
        <v>0</v>
      </c>
      <c r="G60" s="85"/>
      <c r="H60" s="86"/>
      <c r="I60" s="27"/>
    </row>
    <row r="61" spans="1:17" ht="15">
      <c r="A61" s="27"/>
      <c r="B61" s="27"/>
      <c r="C61" s="38"/>
      <c r="D61" s="50"/>
      <c r="E61" s="50"/>
      <c r="F61" s="50"/>
      <c r="G61" s="27"/>
      <c r="H61" s="27"/>
      <c r="I61" s="27"/>
    </row>
    <row r="62" spans="1:17" ht="15">
      <c r="A62" s="27"/>
      <c r="C62" s="80"/>
      <c r="D62" s="150" t="s">
        <v>128</v>
      </c>
      <c r="E62" s="151"/>
      <c r="F62" s="151"/>
      <c r="G62" s="67"/>
      <c r="H62" s="67"/>
      <c r="I62" s="27"/>
    </row>
    <row r="63" spans="1:17" ht="15">
      <c r="A63" s="27"/>
      <c r="B63" s="152"/>
      <c r="C63" s="153" t="s">
        <v>250</v>
      </c>
      <c r="D63" s="149" t="s">
        <v>34</v>
      </c>
      <c r="E63" s="149" t="s">
        <v>40</v>
      </c>
      <c r="F63" s="149" t="s">
        <v>42</v>
      </c>
      <c r="G63" s="149" t="s">
        <v>44</v>
      </c>
      <c r="H63" s="149" t="s">
        <v>46</v>
      </c>
      <c r="I63" s="27"/>
      <c r="O63" s="27"/>
      <c r="Q63" s="22"/>
    </row>
    <row r="64" spans="1:17" ht="15">
      <c r="A64" s="51"/>
      <c r="B64" s="82"/>
      <c r="C64" s="146" t="s">
        <v>47</v>
      </c>
      <c r="D64" s="144">
        <f>'Maintenance costs'!C83</f>
        <v>500.6624816336012</v>
      </c>
      <c r="E64" s="144">
        <f>'Maintenance costs'!D83</f>
        <v>690.66248163360126</v>
      </c>
      <c r="F64" s="144">
        <f>'Maintenance costs'!E83</f>
        <v>2114.6624816336016</v>
      </c>
      <c r="G64" s="144">
        <f>'Maintenance costs'!F83</f>
        <v>106.66248163360125</v>
      </c>
      <c r="H64" s="144">
        <f>'Maintenance costs'!G83</f>
        <v>338.6624816336012</v>
      </c>
      <c r="I64" s="27"/>
      <c r="J64" s="27"/>
      <c r="K64" s="27"/>
      <c r="L64" s="27"/>
      <c r="M64" s="27"/>
      <c r="N64" s="27"/>
    </row>
    <row r="65" spans="1:13" ht="15">
      <c r="A65" s="51"/>
      <c r="B65" s="82"/>
      <c r="C65" s="146" t="s">
        <v>48</v>
      </c>
      <c r="D65" s="148">
        <f>'Maintenance costs'!C84</f>
        <v>250.44557415013395</v>
      </c>
      <c r="E65" s="148">
        <f>'Maintenance costs'!D84</f>
        <v>345.44557415013395</v>
      </c>
      <c r="F65" s="148">
        <f>'Maintenance costs'!E84</f>
        <v>1057.445574150134</v>
      </c>
      <c r="G65" s="46"/>
      <c r="H65" s="59"/>
      <c r="I65" s="27"/>
      <c r="J65" s="27"/>
    </row>
    <row r="66" spans="1:13" ht="15">
      <c r="A66" s="51"/>
      <c r="B66" s="83"/>
      <c r="C66" s="146" t="s">
        <v>49</v>
      </c>
      <c r="D66" s="144">
        <f>'Maintenance costs'!C85</f>
        <v>250.21690748346728</v>
      </c>
      <c r="E66" s="144">
        <f>'Maintenance costs'!D85</f>
        <v>345.21690748346731</v>
      </c>
      <c r="F66" s="144">
        <f>'Maintenance costs'!E85</f>
        <v>1057.2169074834674</v>
      </c>
      <c r="G66" s="85"/>
      <c r="H66" s="86"/>
      <c r="I66" s="27"/>
      <c r="J66" s="27"/>
    </row>
    <row r="67" spans="1:13">
      <c r="A67" s="27"/>
      <c r="B67" s="27"/>
      <c r="C67" s="27"/>
      <c r="D67" s="27"/>
      <c r="E67" s="27"/>
      <c r="F67" s="27"/>
      <c r="G67" s="27"/>
      <c r="H67" s="27"/>
      <c r="I67" s="27"/>
      <c r="J67" s="27"/>
    </row>
    <row r="68" spans="1:13">
      <c r="A68" s="27"/>
      <c r="D68" s="150" t="s">
        <v>129</v>
      </c>
      <c r="E68" s="67"/>
      <c r="F68" s="67"/>
      <c r="G68" s="67"/>
      <c r="H68" s="67"/>
      <c r="I68" s="27"/>
      <c r="J68" s="27"/>
    </row>
    <row r="69" spans="1:13" ht="15">
      <c r="A69" s="27"/>
      <c r="B69" s="87"/>
      <c r="C69" s="161" t="s">
        <v>251</v>
      </c>
      <c r="D69" s="149" t="s">
        <v>34</v>
      </c>
      <c r="E69" s="149" t="s">
        <v>40</v>
      </c>
      <c r="F69" s="149" t="s">
        <v>42</v>
      </c>
      <c r="G69" s="149" t="s">
        <v>44</v>
      </c>
      <c r="H69" s="149" t="s">
        <v>46</v>
      </c>
      <c r="I69" s="27"/>
      <c r="J69" s="27"/>
    </row>
    <row r="70" spans="1:13">
      <c r="A70" s="27"/>
      <c r="B70" s="87"/>
      <c r="C70" s="154" t="s">
        <v>123</v>
      </c>
      <c r="D70" s="144">
        <f>'Support costs'!$D7</f>
        <v>100.87424344317418</v>
      </c>
      <c r="E70" s="144">
        <f>'Support costs'!$D7</f>
        <v>100.87424344317418</v>
      </c>
      <c r="F70" s="144">
        <f>'Support costs'!$D7</f>
        <v>100.87424344317418</v>
      </c>
      <c r="G70" s="144">
        <f>'Support costs'!$D7</f>
        <v>100.87424344317418</v>
      </c>
      <c r="H70" s="144">
        <f>'Support costs'!$D7</f>
        <v>100.87424344317418</v>
      </c>
      <c r="I70" s="27"/>
      <c r="J70" s="27"/>
    </row>
    <row r="71" spans="1:13">
      <c r="A71" s="27"/>
      <c r="B71" s="43"/>
      <c r="C71" s="48"/>
      <c r="D71" s="84"/>
      <c r="E71" s="84"/>
      <c r="F71" s="84"/>
      <c r="G71" s="84"/>
      <c r="H71" s="84"/>
      <c r="I71" s="27"/>
      <c r="J71" s="27"/>
    </row>
    <row r="72" spans="1:13">
      <c r="B72" s="20"/>
      <c r="C72" s="20"/>
      <c r="D72" s="52" t="s">
        <v>252</v>
      </c>
      <c r="E72" s="43"/>
      <c r="F72" s="43"/>
      <c r="G72" s="43"/>
      <c r="H72" s="43"/>
      <c r="I72" s="43"/>
    </row>
    <row r="73" spans="1:13" ht="15" customHeight="1">
      <c r="B73" s="484" t="s">
        <v>253</v>
      </c>
      <c r="C73" s="484"/>
      <c r="D73" s="476" t="s">
        <v>240</v>
      </c>
      <c r="E73" s="476" t="s">
        <v>161</v>
      </c>
      <c r="F73" s="476" t="s">
        <v>254</v>
      </c>
      <c r="G73" s="477" t="s">
        <v>115</v>
      </c>
      <c r="H73" s="477"/>
      <c r="I73" s="477"/>
    </row>
    <row r="74" spans="1:13" ht="12" customHeight="1">
      <c r="B74" s="484"/>
      <c r="C74" s="484"/>
      <c r="D74" s="476"/>
      <c r="E74" s="476"/>
      <c r="F74" s="476"/>
      <c r="G74" s="482" t="s">
        <v>117</v>
      </c>
      <c r="H74" s="482" t="s">
        <v>171</v>
      </c>
      <c r="I74" s="476" t="s">
        <v>116</v>
      </c>
    </row>
    <row r="75" spans="1:13" ht="12" customHeight="1">
      <c r="B75" s="484"/>
      <c r="C75" s="484"/>
      <c r="D75" s="476"/>
      <c r="E75" s="476"/>
      <c r="F75" s="476"/>
      <c r="G75" s="482"/>
      <c r="H75" s="482"/>
      <c r="I75" s="476"/>
      <c r="J75" s="27"/>
      <c r="K75" s="497" t="s">
        <v>349</v>
      </c>
    </row>
    <row r="76" spans="1:13">
      <c r="B76" s="484"/>
      <c r="C76" s="484"/>
      <c r="D76" s="476"/>
      <c r="E76" s="476"/>
      <c r="F76" s="476"/>
      <c r="G76" s="482"/>
      <c r="H76" s="482"/>
      <c r="I76" s="476"/>
      <c r="J76" s="27"/>
      <c r="K76" s="501"/>
    </row>
    <row r="77" spans="1:13">
      <c r="B77" s="496" t="s">
        <v>34</v>
      </c>
      <c r="C77" s="311" t="s">
        <v>47</v>
      </c>
      <c r="D77" s="155">
        <f>Inputs!D119</f>
        <v>96</v>
      </c>
      <c r="E77" s="156">
        <f>Inputs!E119</f>
        <v>1.0999999999999999E-2</v>
      </c>
      <c r="F77" s="169">
        <f>ROUND(D77*(1-E77),0)</f>
        <v>95</v>
      </c>
      <c r="G77" s="124">
        <f>D6*$F77</f>
        <v>61560.121355588599</v>
      </c>
      <c r="H77" s="124">
        <f>D58*F77</f>
        <v>38057.494827009396</v>
      </c>
      <c r="I77" s="124"/>
      <c r="J77" s="27"/>
      <c r="K77" s="124">
        <f>SUM(G77:I77)</f>
        <v>99617.616182597994</v>
      </c>
      <c r="M77" s="309"/>
    </row>
    <row r="78" spans="1:13">
      <c r="B78" s="492"/>
      <c r="C78" s="164" t="s">
        <v>118</v>
      </c>
      <c r="D78" s="155">
        <f>Inputs!D120</f>
        <v>0</v>
      </c>
      <c r="E78" s="156">
        <f>Inputs!E120</f>
        <v>1.0999999999999999E-2</v>
      </c>
      <c r="F78" s="169">
        <f t="shared" ref="F78:F91" si="5">ROUND(D78*(1-E78),0)</f>
        <v>0</v>
      </c>
      <c r="G78" s="124">
        <f>D8*$F78</f>
        <v>0</v>
      </c>
      <c r="H78" s="124">
        <f>D59*F78</f>
        <v>0</v>
      </c>
      <c r="I78" s="124"/>
      <c r="J78" s="27"/>
      <c r="K78" s="124">
        <f t="shared" ref="K78:K91" si="6">SUM(G78:I78)</f>
        <v>0</v>
      </c>
      <c r="M78" s="309"/>
    </row>
    <row r="79" spans="1:13">
      <c r="B79" s="492"/>
      <c r="C79" s="164" t="s">
        <v>49</v>
      </c>
      <c r="D79" s="155">
        <f>Inputs!D121</f>
        <v>12</v>
      </c>
      <c r="E79" s="156">
        <f>Inputs!E121</f>
        <v>2.5000000000000001E-2</v>
      </c>
      <c r="F79" s="169">
        <f t="shared" si="5"/>
        <v>12</v>
      </c>
      <c r="G79" s="124">
        <f>D10*$F79</f>
        <v>7776.0153291269808</v>
      </c>
      <c r="H79" s="124">
        <f>D60*F79</f>
        <v>0</v>
      </c>
      <c r="I79" s="124"/>
      <c r="J79" s="27"/>
      <c r="K79" s="124">
        <f t="shared" si="6"/>
        <v>7776.0153291269808</v>
      </c>
      <c r="M79" s="309"/>
    </row>
    <row r="80" spans="1:13">
      <c r="B80" s="492"/>
      <c r="C80" s="164" t="s">
        <v>119</v>
      </c>
      <c r="D80" s="155">
        <f>Inputs!D122</f>
        <v>26</v>
      </c>
      <c r="E80" s="156">
        <f>Inputs!E122</f>
        <v>0.747</v>
      </c>
      <c r="F80" s="169">
        <f t="shared" si="5"/>
        <v>7</v>
      </c>
      <c r="G80" s="124">
        <f>D6*$F80</f>
        <v>4536.008941990739</v>
      </c>
      <c r="H80" s="124">
        <f>D58*F80</f>
        <v>2804.2364609375345</v>
      </c>
      <c r="I80" s="124">
        <f>D7*F80</f>
        <v>7697.9660870771149</v>
      </c>
      <c r="J80" s="27"/>
      <c r="K80" s="124">
        <f t="shared" si="6"/>
        <v>15038.211490005389</v>
      </c>
      <c r="M80" s="309"/>
    </row>
    <row r="81" spans="2:13">
      <c r="B81" s="492"/>
      <c r="C81" s="312" t="s">
        <v>121</v>
      </c>
      <c r="D81" s="155">
        <f>Inputs!D123</f>
        <v>505</v>
      </c>
      <c r="E81" s="156">
        <f>Inputs!E123</f>
        <v>0.747</v>
      </c>
      <c r="F81" s="169">
        <f t="shared" si="5"/>
        <v>128</v>
      </c>
      <c r="G81" s="124">
        <f>D6*F$81</f>
        <v>82944.163510687795</v>
      </c>
      <c r="H81" s="124">
        <f>D58*F81</f>
        <v>51277.466714286347</v>
      </c>
      <c r="I81" s="124">
        <f>D7*F81</f>
        <v>140762.80844941011</v>
      </c>
      <c r="J81" s="27"/>
      <c r="K81" s="124">
        <f t="shared" si="6"/>
        <v>274984.43867438426</v>
      </c>
      <c r="M81" s="309"/>
    </row>
    <row r="82" spans="2:13">
      <c r="B82" s="492" t="s">
        <v>40</v>
      </c>
      <c r="C82" s="164" t="s">
        <v>47</v>
      </c>
      <c r="D82" s="155">
        <f>Inputs!D124</f>
        <v>197</v>
      </c>
      <c r="E82" s="156">
        <f>Inputs!E124</f>
        <v>1.0999999999999999E-2</v>
      </c>
      <c r="F82" s="169">
        <f t="shared" si="5"/>
        <v>195</v>
      </c>
      <c r="G82" s="124">
        <f>E6*$F82</f>
        <v>146872.865251827</v>
      </c>
      <c r="H82" s="124">
        <f>E58*F82</f>
        <v>78118.015697545605</v>
      </c>
      <c r="I82" s="124"/>
      <c r="J82" s="27"/>
      <c r="K82" s="124">
        <f t="shared" si="6"/>
        <v>224990.8809493726</v>
      </c>
      <c r="M82" s="309"/>
    </row>
    <row r="83" spans="2:13">
      <c r="B83" s="492"/>
      <c r="C83" s="164" t="s">
        <v>118</v>
      </c>
      <c r="D83" s="155">
        <f>Inputs!D125</f>
        <v>61</v>
      </c>
      <c r="E83" s="156">
        <f>Inputs!E125</f>
        <v>1.0999999999999999E-2</v>
      </c>
      <c r="F83" s="169">
        <f t="shared" si="5"/>
        <v>60</v>
      </c>
      <c r="G83" s="124">
        <f>E8*$F83</f>
        <v>45191.650846715995</v>
      </c>
      <c r="H83" s="124">
        <f>E59*F83</f>
        <v>24036.312522321725</v>
      </c>
      <c r="I83" s="124"/>
      <c r="J83" s="27"/>
      <c r="K83" s="124">
        <f t="shared" si="6"/>
        <v>69227.963369037723</v>
      </c>
      <c r="M83" s="309"/>
    </row>
    <row r="84" spans="2:13">
      <c r="B84" s="492"/>
      <c r="C84" s="164" t="s">
        <v>49</v>
      </c>
      <c r="D84" s="155">
        <f>Inputs!D126</f>
        <v>315</v>
      </c>
      <c r="E84" s="156">
        <f>Inputs!E126</f>
        <v>2.5000000000000001E-2</v>
      </c>
      <c r="F84" s="169">
        <f t="shared" si="5"/>
        <v>307</v>
      </c>
      <c r="G84" s="124">
        <f>E10*$F84</f>
        <v>231230.61349903018</v>
      </c>
      <c r="H84" s="124">
        <f>E60*F84</f>
        <v>0</v>
      </c>
      <c r="I84" s="124"/>
      <c r="J84" s="27"/>
      <c r="K84" s="124">
        <f t="shared" si="6"/>
        <v>231230.61349903018</v>
      </c>
      <c r="M84" s="309"/>
    </row>
    <row r="85" spans="2:13">
      <c r="B85" s="492"/>
      <c r="C85" s="164" t="s">
        <v>119</v>
      </c>
      <c r="D85" s="155">
        <f>Inputs!D127</f>
        <v>226</v>
      </c>
      <c r="E85" s="156">
        <f>Inputs!E127</f>
        <v>0.747</v>
      </c>
      <c r="F85" s="169">
        <f t="shared" si="5"/>
        <v>57</v>
      </c>
      <c r="G85" s="124">
        <f>E6*F$85</f>
        <v>42932.068304380198</v>
      </c>
      <c r="H85" s="124">
        <f>E58*F85</f>
        <v>22834.496896205637</v>
      </c>
      <c r="I85" s="124">
        <f>E7*F85</f>
        <v>80078.426968804924</v>
      </c>
      <c r="J85" s="27"/>
      <c r="K85" s="124">
        <f t="shared" si="6"/>
        <v>145844.99216939078</v>
      </c>
      <c r="M85" s="309"/>
    </row>
    <row r="86" spans="2:13">
      <c r="B86" s="492" t="s">
        <v>42</v>
      </c>
      <c r="C86" s="164" t="s">
        <v>47</v>
      </c>
      <c r="D86" s="155">
        <f>Inputs!D128</f>
        <v>53</v>
      </c>
      <c r="E86" s="156">
        <f>Inputs!E128</f>
        <v>1.0999999999999999E-2</v>
      </c>
      <c r="F86" s="169">
        <f t="shared" si="5"/>
        <v>52</v>
      </c>
      <c r="G86" s="124">
        <f>F6*$F86</f>
        <v>111014.89525336064</v>
      </c>
      <c r="H86" s="124">
        <f>F58*F86</f>
        <v>20831.470852678827</v>
      </c>
      <c r="I86" s="124"/>
      <c r="J86" s="27"/>
      <c r="K86" s="124">
        <f t="shared" si="6"/>
        <v>131846.36610603947</v>
      </c>
      <c r="M86" s="309"/>
    </row>
    <row r="87" spans="2:13">
      <c r="B87" s="492"/>
      <c r="C87" s="164" t="s">
        <v>118</v>
      </c>
      <c r="D87" s="155">
        <f>Inputs!D129</f>
        <v>29</v>
      </c>
      <c r="E87" s="156">
        <f>Inputs!E129</f>
        <v>1.0999999999999999E-2</v>
      </c>
      <c r="F87" s="169">
        <f t="shared" si="5"/>
        <v>29</v>
      </c>
      <c r="G87" s="124">
        <f>F8*$F87</f>
        <v>61912.153122066513</v>
      </c>
      <c r="H87" s="124">
        <f>F59*F87</f>
        <v>11617.551052455501</v>
      </c>
      <c r="I87" s="124"/>
      <c r="J87" s="27"/>
      <c r="K87" s="124">
        <f t="shared" si="6"/>
        <v>73529.704174522019</v>
      </c>
      <c r="M87" s="309"/>
    </row>
    <row r="88" spans="2:13">
      <c r="B88" s="492"/>
      <c r="C88" s="164" t="s">
        <v>49</v>
      </c>
      <c r="D88" s="155">
        <f>Inputs!D130</f>
        <v>113</v>
      </c>
      <c r="E88" s="156">
        <f>Inputs!E130</f>
        <v>2.5000000000000001E-2</v>
      </c>
      <c r="F88" s="169">
        <f t="shared" si="5"/>
        <v>110</v>
      </c>
      <c r="G88" s="124">
        <f>F10*$F88</f>
        <v>234839.20149749366</v>
      </c>
      <c r="H88" s="124">
        <f>F60*F88</f>
        <v>0</v>
      </c>
      <c r="I88" s="124"/>
      <c r="J88" s="27"/>
      <c r="K88" s="124">
        <f t="shared" si="6"/>
        <v>234839.20149749366</v>
      </c>
      <c r="M88" s="309"/>
    </row>
    <row r="89" spans="2:13">
      <c r="B89" s="492"/>
      <c r="C89" s="164" t="s">
        <v>119</v>
      </c>
      <c r="D89" s="155">
        <f>Inputs!D131</f>
        <v>49</v>
      </c>
      <c r="E89" s="156">
        <f>Inputs!E131</f>
        <v>0.747</v>
      </c>
      <c r="F89" s="169">
        <f t="shared" si="5"/>
        <v>12</v>
      </c>
      <c r="G89" s="124">
        <f>F6*F$89</f>
        <v>25618.821981544763</v>
      </c>
      <c r="H89" s="124">
        <f>F58*F89</f>
        <v>4807.2625044643446</v>
      </c>
      <c r="I89" s="124">
        <f>F7*F89</f>
        <v>52100.523044852831</v>
      </c>
      <c r="J89" s="27"/>
      <c r="K89" s="124">
        <f t="shared" si="6"/>
        <v>82526.607530861947</v>
      </c>
      <c r="M89" s="309"/>
    </row>
    <row r="90" spans="2:13">
      <c r="B90" s="492" t="s">
        <v>44</v>
      </c>
      <c r="C90" s="492"/>
      <c r="D90" s="155">
        <f>Inputs!D132</f>
        <v>835</v>
      </c>
      <c r="E90" s="156">
        <f>Inputs!E132</f>
        <v>0.14299999999999999</v>
      </c>
      <c r="F90" s="169">
        <f t="shared" si="5"/>
        <v>716</v>
      </c>
      <c r="G90" s="124">
        <f>G6*F90</f>
        <v>116005.42980220687</v>
      </c>
      <c r="H90" s="124">
        <f>G58*F90</f>
        <v>286833.32943303924</v>
      </c>
      <c r="I90" s="124">
        <f>G7*F90</f>
        <v>124304.28573972199</v>
      </c>
      <c r="J90" s="27"/>
      <c r="K90" s="124">
        <f t="shared" si="6"/>
        <v>527143.04497496807</v>
      </c>
      <c r="M90" s="309"/>
    </row>
    <row r="91" spans="2:13">
      <c r="B91" s="492" t="s">
        <v>46</v>
      </c>
      <c r="C91" s="492"/>
      <c r="D91" s="155">
        <f>Inputs!D133</f>
        <v>1471</v>
      </c>
      <c r="E91" s="156">
        <f>Inputs!E133</f>
        <v>0.188</v>
      </c>
      <c r="F91" s="169">
        <f t="shared" si="5"/>
        <v>1194</v>
      </c>
      <c r="G91" s="124">
        <f>H6*F91</f>
        <v>429546.99855213007</v>
      </c>
      <c r="H91" s="124">
        <f>H58*F91</f>
        <v>478322.61919420236</v>
      </c>
      <c r="I91" s="124">
        <f>H7*F91</f>
        <v>742798.67114548886</v>
      </c>
      <c r="J91" s="27"/>
      <c r="K91" s="124">
        <f t="shared" si="6"/>
        <v>1650668.2888918212</v>
      </c>
      <c r="M91" s="309"/>
    </row>
    <row r="92" spans="2:13">
      <c r="B92" s="58"/>
      <c r="C92" s="403"/>
      <c r="D92" s="43"/>
      <c r="E92" s="43"/>
      <c r="F92" s="43"/>
      <c r="G92" s="43"/>
      <c r="H92" s="43"/>
      <c r="I92" s="62"/>
      <c r="J92" s="27"/>
      <c r="K92" s="168"/>
    </row>
    <row r="93" spans="2:13">
      <c r="B93" s="66"/>
      <c r="C93" s="400" t="s">
        <v>122</v>
      </c>
      <c r="D93" s="157">
        <f>SUM(D77:D91)</f>
        <v>3988</v>
      </c>
      <c r="E93" s="105"/>
      <c r="F93" s="157">
        <f>SUM(F77:F91)</f>
        <v>2974</v>
      </c>
      <c r="G93" s="220">
        <f>SUM(G77:G91)</f>
        <v>1601981.00724815</v>
      </c>
      <c r="H93" s="220">
        <f t="shared" ref="H93:I93" si="7">SUM(H77:H91)</f>
        <v>1019540.2561551465</v>
      </c>
      <c r="I93" s="220">
        <f t="shared" si="7"/>
        <v>1147742.6814353559</v>
      </c>
      <c r="J93" s="34" t="s">
        <v>77</v>
      </c>
      <c r="K93" s="174">
        <f>SUM(K77:K91)</f>
        <v>3769263.9448386519</v>
      </c>
      <c r="M93" s="123"/>
    </row>
    <row r="94" spans="2:13">
      <c r="M94" s="123"/>
    </row>
    <row r="96" spans="2:13">
      <c r="B96" s="479" t="s">
        <v>134</v>
      </c>
      <c r="C96" s="480"/>
      <c r="D96" s="481"/>
      <c r="H96" s="22"/>
    </row>
    <row r="97" spans="2:10">
      <c r="B97" s="87"/>
      <c r="C97" s="163" t="s">
        <v>70</v>
      </c>
      <c r="D97" s="163" t="s">
        <v>133</v>
      </c>
    </row>
    <row r="98" spans="2:10">
      <c r="B98" s="164" t="s">
        <v>131</v>
      </c>
      <c r="C98" s="124">
        <f>G77+G78+G79+G82+G83+G84+G86+G87+G88</f>
        <v>900397.51615520951</v>
      </c>
      <c r="D98" s="124">
        <f>I77+I78+I79+I82+I83+I84+I86+I87+I88</f>
        <v>0</v>
      </c>
    </row>
    <row r="99" spans="2:10">
      <c r="B99" s="164" t="s">
        <v>132</v>
      </c>
      <c r="C99" s="124">
        <f>G80+G81+G85+G89+G90+G91</f>
        <v>701583.49109294044</v>
      </c>
      <c r="D99" s="124">
        <f>I80+I81+I85+I89+I90+I91</f>
        <v>1147742.6814353559</v>
      </c>
      <c r="G99" s="123"/>
      <c r="H99" s="123"/>
    </row>
    <row r="100" spans="2:10">
      <c r="B100" s="27"/>
      <c r="C100" s="27"/>
      <c r="D100" s="27"/>
      <c r="E100" s="27"/>
    </row>
    <row r="102" spans="2:10">
      <c r="B102" s="477" t="s">
        <v>215</v>
      </c>
      <c r="C102" s="477"/>
      <c r="D102" s="477"/>
      <c r="E102" s="477"/>
      <c r="F102" s="477"/>
    </row>
    <row r="103" spans="2:10">
      <c r="B103" s="502"/>
      <c r="C103" s="502"/>
      <c r="D103" s="166" t="s">
        <v>179</v>
      </c>
      <c r="E103" s="166" t="s">
        <v>180</v>
      </c>
      <c r="F103" s="166" t="s">
        <v>77</v>
      </c>
    </row>
    <row r="104" spans="2:10">
      <c r="B104" s="478" t="s">
        <v>216</v>
      </c>
      <c r="C104" s="478"/>
      <c r="D104" s="124">
        <f>H77+H78+H79+H82+H83+H84+H86+H87+H88</f>
        <v>172660.84495201104</v>
      </c>
      <c r="E104" s="124">
        <f>H80+H81+H85+H89+H90+H91</f>
        <v>846879.4112031355</v>
      </c>
      <c r="F104" s="168"/>
      <c r="G104" s="162" t="s">
        <v>226</v>
      </c>
    </row>
    <row r="105" spans="2:10">
      <c r="B105" s="478" t="s">
        <v>124</v>
      </c>
      <c r="C105" s="478"/>
      <c r="D105" s="124">
        <f>F105-E105</f>
        <v>86751.849361129804</v>
      </c>
      <c r="E105" s="124">
        <f>D70*(F80+F81)+E70*F85+F70*F89+G70*F90+H70*F91</f>
        <v>213248.1506388702</v>
      </c>
      <c r="F105" s="124">
        <f>D70*F93</f>
        <v>300000</v>
      </c>
      <c r="G105" s="162" t="s">
        <v>227</v>
      </c>
    </row>
    <row r="106" spans="2:10">
      <c r="B106" s="478" t="s">
        <v>51</v>
      </c>
      <c r="C106" s="478"/>
      <c r="D106" s="124">
        <f>G77+G78+G79+G82+G83+G84+G86+G87+G88-D105</f>
        <v>813645.66679407971</v>
      </c>
      <c r="E106" s="124">
        <f>G80+I80+G81+I81+G85+I85+G89+I89+G90+I90+G91+I91-E105</f>
        <v>1636078.021889426</v>
      </c>
      <c r="F106" s="124"/>
      <c r="G106" s="162" t="s">
        <v>229</v>
      </c>
    </row>
    <row r="107" spans="2:10">
      <c r="B107" s="478" t="s">
        <v>217</v>
      </c>
      <c r="C107" s="478"/>
      <c r="D107" s="124">
        <f>G77+G78+G79+G82+G83+G84+G86+G87+G88</f>
        <v>900397.51615520951</v>
      </c>
      <c r="E107" s="124">
        <f>G80+G81+G85+G89+G90+G91</f>
        <v>701583.49109294044</v>
      </c>
      <c r="F107" s="124"/>
      <c r="G107" s="162" t="s">
        <v>228</v>
      </c>
      <c r="I107" s="165"/>
      <c r="J107" s="165"/>
    </row>
    <row r="108" spans="2:10">
      <c r="B108" s="502"/>
      <c r="C108" s="502"/>
      <c r="D108" s="366"/>
      <c r="E108" s="366"/>
      <c r="F108" s="124"/>
      <c r="G108" s="162"/>
      <c r="I108" s="165"/>
      <c r="J108" s="165"/>
    </row>
    <row r="109" spans="2:10">
      <c r="B109" s="478" t="s">
        <v>218</v>
      </c>
      <c r="C109" s="478"/>
      <c r="D109" s="366"/>
      <c r="E109" s="124">
        <f>G81+H81+I81+G85+H85+I85+G89+H89+I89+G80+H80+I80</f>
        <v>518394.24986464233</v>
      </c>
      <c r="F109" s="124"/>
      <c r="G109" s="162" t="s">
        <v>230</v>
      </c>
      <c r="I109" s="165"/>
      <c r="J109" s="165"/>
    </row>
    <row r="110" spans="2:10">
      <c r="E110" s="165"/>
      <c r="F110" s="165"/>
      <c r="I110" s="165"/>
      <c r="J110" s="165"/>
    </row>
    <row r="111" spans="2:10" ht="12" customHeight="1">
      <c r="E111" s="165"/>
      <c r="F111" s="165"/>
    </row>
    <row r="112" spans="2:10">
      <c r="B112" s="482" t="s">
        <v>256</v>
      </c>
      <c r="C112" s="482"/>
      <c r="D112" s="482"/>
      <c r="E112" s="482"/>
      <c r="F112" s="483"/>
      <c r="G112" s="503" t="s">
        <v>390</v>
      </c>
      <c r="H112" s="491" t="s">
        <v>391</v>
      </c>
    </row>
    <row r="113" spans="2:8" ht="15">
      <c r="B113" s="441" t="s">
        <v>143</v>
      </c>
      <c r="C113" s="441"/>
      <c r="D113" s="441"/>
      <c r="E113" s="441"/>
      <c r="F113" s="483"/>
      <c r="G113" s="503"/>
      <c r="H113" s="491"/>
    </row>
    <row r="114" spans="2:8">
      <c r="B114" s="441" t="s">
        <v>144</v>
      </c>
      <c r="C114" s="441" t="s">
        <v>145</v>
      </c>
      <c r="D114" s="474" t="s">
        <v>237</v>
      </c>
      <c r="E114" s="441" t="s">
        <v>77</v>
      </c>
      <c r="F114" s="483"/>
      <c r="G114" s="503"/>
      <c r="H114" s="491"/>
    </row>
    <row r="115" spans="2:8" ht="15.95" customHeight="1">
      <c r="B115" s="441"/>
      <c r="C115" s="441"/>
      <c r="D115" s="474"/>
      <c r="E115" s="441"/>
      <c r="F115" s="483"/>
      <c r="G115" s="503"/>
      <c r="H115" s="491"/>
    </row>
    <row r="116" spans="2:8" ht="15.95" customHeight="1">
      <c r="B116" s="171" t="s">
        <v>146</v>
      </c>
      <c r="C116" s="172">
        <f>Inputs!C96</f>
        <v>4092</v>
      </c>
      <c r="D116" s="173">
        <f>Inputs!D96</f>
        <v>103.31</v>
      </c>
      <c r="E116" s="173">
        <f>C116*D116</f>
        <v>422744.52</v>
      </c>
      <c r="F116" s="43"/>
      <c r="G116" s="173">
        <f>D116/E$121*E$125</f>
        <v>146.43546795338494</v>
      </c>
      <c r="H116" s="491"/>
    </row>
    <row r="117" spans="2:8" ht="15.95" customHeight="1">
      <c r="B117" s="171" t="s">
        <v>147</v>
      </c>
      <c r="C117" s="172">
        <f>Inputs!C97</f>
        <v>8404</v>
      </c>
      <c r="D117" s="173">
        <f>Inputs!D97</f>
        <v>175.63</v>
      </c>
      <c r="E117" s="173">
        <f t="shared" ref="E117:E119" si="8">C117*D117</f>
        <v>1475994.52</v>
      </c>
      <c r="F117" s="43"/>
      <c r="G117" s="173">
        <f>D117/E$121*E$125</f>
        <v>248.94454783324943</v>
      </c>
      <c r="H117" s="491"/>
    </row>
    <row r="118" spans="2:8" ht="15.95" customHeight="1">
      <c r="B118" s="171" t="s">
        <v>149</v>
      </c>
      <c r="C118" s="172">
        <f>Inputs!C98</f>
        <v>2</v>
      </c>
      <c r="D118" s="173">
        <f>Inputs!D98</f>
        <v>888.47</v>
      </c>
      <c r="E118" s="173">
        <f t="shared" si="8"/>
        <v>1776.94</v>
      </c>
      <c r="F118" s="20"/>
      <c r="G118" s="173">
        <f>D118/E$121*E$125</f>
        <v>1259.3506941491039</v>
      </c>
      <c r="H118" s="491"/>
    </row>
    <row r="119" spans="2:8" ht="15.95" customHeight="1">
      <c r="B119" s="171" t="s">
        <v>150</v>
      </c>
      <c r="C119" s="172">
        <f>Inputs!C99</f>
        <v>1</v>
      </c>
      <c r="D119" s="173">
        <f>Inputs!D99</f>
        <v>1652.96</v>
      </c>
      <c r="E119" s="173">
        <f t="shared" si="8"/>
        <v>1652.96</v>
      </c>
      <c r="F119" s="20"/>
      <c r="G119" s="173">
        <f>D119/E$121*E$125</f>
        <v>2342.9674872541591</v>
      </c>
      <c r="H119" s="491"/>
    </row>
    <row r="120" spans="2:8" ht="15.95" customHeight="1">
      <c r="B120" s="180"/>
      <c r="C120" s="172"/>
      <c r="D120" s="173"/>
      <c r="E120" s="173"/>
      <c r="F120" s="43"/>
    </row>
    <row r="121" spans="2:8" ht="15.95" customHeight="1">
      <c r="B121" s="27"/>
      <c r="C121" s="485" t="s">
        <v>231</v>
      </c>
      <c r="D121" s="485"/>
      <c r="E121" s="173">
        <f>SUM(E116:E119)</f>
        <v>1902168.94</v>
      </c>
      <c r="F121" s="495" t="s">
        <v>232</v>
      </c>
      <c r="G121" s="495"/>
    </row>
    <row r="122" spans="2:8" ht="15.95" customHeight="1">
      <c r="B122" s="27"/>
      <c r="C122" s="485" t="s">
        <v>148</v>
      </c>
      <c r="D122" s="485"/>
      <c r="E122" s="173">
        <f>Inputs!F97</f>
        <v>4090000</v>
      </c>
      <c r="F122" s="495"/>
      <c r="G122" s="495"/>
    </row>
    <row r="123" spans="2:8">
      <c r="C123" s="485" t="s">
        <v>333</v>
      </c>
      <c r="D123" s="485"/>
      <c r="E123" s="173">
        <f>E122-E121</f>
        <v>2187831.06</v>
      </c>
      <c r="F123" s="495"/>
      <c r="G123" s="495"/>
      <c r="H123" s="284"/>
    </row>
    <row r="124" spans="2:8">
      <c r="D124" s="48"/>
      <c r="F124" s="495"/>
      <c r="G124" s="495"/>
    </row>
    <row r="125" spans="2:8">
      <c r="C125" s="485" t="s">
        <v>332</v>
      </c>
      <c r="D125" s="485"/>
      <c r="E125" s="173">
        <f>E150</f>
        <v>2696205.5837314315</v>
      </c>
      <c r="F125" s="495"/>
      <c r="G125" s="495"/>
    </row>
    <row r="126" spans="2:8" ht="12" customHeight="1">
      <c r="C126" s="485" t="s">
        <v>334</v>
      </c>
      <c r="D126" s="485"/>
      <c r="E126" s="173">
        <f>E125-E121</f>
        <v>794036.64373143157</v>
      </c>
      <c r="F126" s="495"/>
      <c r="G126" s="495"/>
    </row>
    <row r="127" spans="2:8">
      <c r="D127" s="27"/>
      <c r="E127" s="27"/>
    </row>
    <row r="129" spans="2:7">
      <c r="D129" s="497" t="s">
        <v>219</v>
      </c>
      <c r="E129" s="500" t="s">
        <v>255</v>
      </c>
    </row>
    <row r="130" spans="2:7">
      <c r="D130" s="498"/>
      <c r="E130" s="498"/>
    </row>
    <row r="131" spans="2:7">
      <c r="D131" s="499"/>
      <c r="E131" s="499"/>
    </row>
    <row r="132" spans="2:7">
      <c r="B132" s="477" t="s">
        <v>34</v>
      </c>
      <c r="C132" s="310" t="s">
        <v>47</v>
      </c>
      <c r="D132" s="390">
        <f>G77</f>
        <v>61560.121355588599</v>
      </c>
      <c r="E132" s="486">
        <f>(D132+D133+D134)/(F77+F78+F79)</f>
        <v>648.0012774272484</v>
      </c>
      <c r="F132" s="494" t="s">
        <v>345</v>
      </c>
      <c r="G132" s="494"/>
    </row>
    <row r="133" spans="2:7">
      <c r="B133" s="477"/>
      <c r="C133" s="310" t="s">
        <v>118</v>
      </c>
      <c r="D133" s="390">
        <f>G78</f>
        <v>0</v>
      </c>
      <c r="E133" s="487"/>
      <c r="F133" s="494"/>
      <c r="G133" s="494"/>
    </row>
    <row r="134" spans="2:7">
      <c r="B134" s="477"/>
      <c r="C134" s="310" t="s">
        <v>49</v>
      </c>
      <c r="D134" s="390">
        <f>G79</f>
        <v>7776.0153291269808</v>
      </c>
      <c r="E134" s="488"/>
      <c r="F134" s="494"/>
      <c r="G134" s="494"/>
    </row>
    <row r="135" spans="2:7">
      <c r="B135" s="477"/>
      <c r="C135" s="310" t="s">
        <v>119</v>
      </c>
      <c r="D135" s="391">
        <f>G80+H80+I80</f>
        <v>15038.211490005389</v>
      </c>
      <c r="E135" s="152"/>
      <c r="F135" s="494"/>
      <c r="G135" s="494"/>
    </row>
    <row r="136" spans="2:7">
      <c r="B136" s="477"/>
      <c r="C136" s="310" t="s">
        <v>121</v>
      </c>
      <c r="D136" s="391">
        <f>G81+H81+I81</f>
        <v>274984.43867438426</v>
      </c>
      <c r="E136" s="158"/>
      <c r="F136" s="494"/>
      <c r="G136" s="494"/>
    </row>
    <row r="137" spans="2:7">
      <c r="B137" s="477" t="s">
        <v>40</v>
      </c>
      <c r="C137" s="310" t="s">
        <v>47</v>
      </c>
      <c r="D137" s="390">
        <f>G82</f>
        <v>146872.865251827</v>
      </c>
      <c r="E137" s="486">
        <f>(D137+D138+D139)/(F82+F83+F84)</f>
        <v>753.19418077859996</v>
      </c>
      <c r="F137" s="494"/>
      <c r="G137" s="494"/>
    </row>
    <row r="138" spans="2:7">
      <c r="B138" s="477"/>
      <c r="C138" s="310" t="s">
        <v>118</v>
      </c>
      <c r="D138" s="390">
        <f>G83</f>
        <v>45191.650846715995</v>
      </c>
      <c r="E138" s="489"/>
      <c r="F138" s="494"/>
      <c r="G138" s="494"/>
    </row>
    <row r="139" spans="2:7">
      <c r="B139" s="477"/>
      <c r="C139" s="310" t="s">
        <v>49</v>
      </c>
      <c r="D139" s="390">
        <f>G84</f>
        <v>231230.61349903018</v>
      </c>
      <c r="E139" s="490"/>
      <c r="F139" s="494"/>
      <c r="G139" s="494"/>
    </row>
    <row r="140" spans="2:7">
      <c r="B140" s="477"/>
      <c r="C140" s="310" t="s">
        <v>119</v>
      </c>
      <c r="D140" s="391">
        <f>G85+H85+I85</f>
        <v>145844.99216939078</v>
      </c>
      <c r="E140" s="159"/>
      <c r="F140" s="494"/>
      <c r="G140" s="494"/>
    </row>
    <row r="141" spans="2:7">
      <c r="B141" s="477" t="s">
        <v>42</v>
      </c>
      <c r="C141" s="310" t="s">
        <v>47</v>
      </c>
      <c r="D141" s="390">
        <f>G86</f>
        <v>111014.89525336064</v>
      </c>
      <c r="E141" s="486">
        <f>(D141+D142+D143)/(F86+F87+F88)</f>
        <v>2134.9018317953969</v>
      </c>
      <c r="F141" s="494"/>
      <c r="G141" s="494"/>
    </row>
    <row r="142" spans="2:7">
      <c r="B142" s="477"/>
      <c r="C142" s="310" t="s">
        <v>118</v>
      </c>
      <c r="D142" s="390">
        <f>G87</f>
        <v>61912.153122066513</v>
      </c>
      <c r="E142" s="487"/>
      <c r="F142" s="494"/>
      <c r="G142" s="494"/>
    </row>
    <row r="143" spans="2:7">
      <c r="B143" s="477"/>
      <c r="C143" s="310" t="s">
        <v>49</v>
      </c>
      <c r="D143" s="390">
        <f>G88</f>
        <v>234839.20149749366</v>
      </c>
      <c r="E143" s="488"/>
      <c r="F143" s="494"/>
      <c r="G143" s="494"/>
    </row>
    <row r="144" spans="2:7">
      <c r="B144" s="477"/>
      <c r="C144" s="310" t="s">
        <v>119</v>
      </c>
      <c r="D144" s="390">
        <f>G89+H89+I89</f>
        <v>82526.607530861947</v>
      </c>
      <c r="E144" s="22"/>
    </row>
    <row r="145" spans="2:6">
      <c r="B145" s="504" t="s">
        <v>44</v>
      </c>
      <c r="C145" s="504"/>
      <c r="D145" s="392">
        <f>G90+H90+I90</f>
        <v>527143.04497496807</v>
      </c>
      <c r="E145" s="22"/>
    </row>
    <row r="146" spans="2:6">
      <c r="B146" s="504" t="s">
        <v>46</v>
      </c>
      <c r="C146" s="504"/>
      <c r="D146" s="392">
        <f>G91+H91+I91</f>
        <v>1650668.2888918212</v>
      </c>
      <c r="E146" s="22"/>
    </row>
    <row r="147" spans="2:6">
      <c r="C147" s="22"/>
      <c r="D147" s="89"/>
      <c r="E147" s="22"/>
    </row>
    <row r="148" spans="2:6">
      <c r="C148" s="310" t="s">
        <v>77</v>
      </c>
      <c r="D148" s="124">
        <f>SUM(D132:D146)</f>
        <v>3596603.0998866409</v>
      </c>
      <c r="E148" s="88"/>
    </row>
    <row r="149" spans="2:6">
      <c r="D149" s="34" t="s">
        <v>131</v>
      </c>
      <c r="E149" s="125">
        <f>D132+D133+D134+D137+D138+D139+D141+D142+D143</f>
        <v>900397.51615520951</v>
      </c>
      <c r="F149" s="123"/>
    </row>
    <row r="150" spans="2:6">
      <c r="D150" s="34" t="s">
        <v>142</v>
      </c>
      <c r="E150" s="125">
        <f>D135+D136+D140+D144+D145+D146</f>
        <v>2696205.5837314315</v>
      </c>
    </row>
    <row r="151" spans="2:6">
      <c r="D151" s="22"/>
      <c r="E151" s="22"/>
    </row>
    <row r="152" spans="2:6">
      <c r="B152" s="22"/>
      <c r="D152" s="22" t="s">
        <v>187</v>
      </c>
      <c r="E152" s="125">
        <f>H77+H78+H79+H82+H83+H84+H86+H87+H88</f>
        <v>172660.84495201104</v>
      </c>
    </row>
    <row r="153" spans="2:6">
      <c r="B153" s="22"/>
      <c r="C153" s="22"/>
    </row>
    <row r="154" spans="2:6">
      <c r="B154" s="22"/>
      <c r="C154" s="22"/>
    </row>
    <row r="155" spans="2:6">
      <c r="B155" s="22"/>
      <c r="C155" s="22"/>
    </row>
    <row r="156" spans="2:6">
      <c r="B156" s="22"/>
      <c r="C156" s="22"/>
    </row>
  </sheetData>
  <mergeCells count="75">
    <mergeCell ref="B132:B136"/>
    <mergeCell ref="B137:B140"/>
    <mergeCell ref="B141:B144"/>
    <mergeCell ref="B145:C145"/>
    <mergeCell ref="B146:C146"/>
    <mergeCell ref="I23:O24"/>
    <mergeCell ref="I21:O22"/>
    <mergeCell ref="F132:G143"/>
    <mergeCell ref="F121:G126"/>
    <mergeCell ref="B77:B81"/>
    <mergeCell ref="D129:D131"/>
    <mergeCell ref="E129:E131"/>
    <mergeCell ref="K75:K76"/>
    <mergeCell ref="B105:C105"/>
    <mergeCell ref="B106:C106"/>
    <mergeCell ref="B107:C107"/>
    <mergeCell ref="B109:C109"/>
    <mergeCell ref="B103:C103"/>
    <mergeCell ref="B108:C108"/>
    <mergeCell ref="G112:G115"/>
    <mergeCell ref="C123:D123"/>
    <mergeCell ref="G73:I73"/>
    <mergeCell ref="D73:D76"/>
    <mergeCell ref="H74:H76"/>
    <mergeCell ref="G74:G76"/>
    <mergeCell ref="I74:I76"/>
    <mergeCell ref="H112:H119"/>
    <mergeCell ref="B82:B85"/>
    <mergeCell ref="B86:B89"/>
    <mergeCell ref="B90:C90"/>
    <mergeCell ref="B91:C91"/>
    <mergeCell ref="C121:D121"/>
    <mergeCell ref="C122:D122"/>
    <mergeCell ref="E132:E134"/>
    <mergeCell ref="E137:E139"/>
    <mergeCell ref="E141:E143"/>
    <mergeCell ref="C125:D125"/>
    <mergeCell ref="C126:D126"/>
    <mergeCell ref="A5:C5"/>
    <mergeCell ref="B45:C45"/>
    <mergeCell ref="B46:C46"/>
    <mergeCell ref="B47:C47"/>
    <mergeCell ref="B48:C48"/>
    <mergeCell ref="A6:C6"/>
    <mergeCell ref="A7:C7"/>
    <mergeCell ref="A8:C8"/>
    <mergeCell ref="A9:C9"/>
    <mergeCell ref="A10:C10"/>
    <mergeCell ref="A11:C11"/>
    <mergeCell ref="B42:C42"/>
    <mergeCell ref="A15:C15"/>
    <mergeCell ref="A16:C16"/>
    <mergeCell ref="A17:C17"/>
    <mergeCell ref="G23:H24"/>
    <mergeCell ref="C114:C115"/>
    <mergeCell ref="D114:D115"/>
    <mergeCell ref="B43:C43"/>
    <mergeCell ref="B44:C44"/>
    <mergeCell ref="B113:E113"/>
    <mergeCell ref="E73:E76"/>
    <mergeCell ref="E114:E115"/>
    <mergeCell ref="B102:F102"/>
    <mergeCell ref="B104:C104"/>
    <mergeCell ref="B114:B115"/>
    <mergeCell ref="B96:D96"/>
    <mergeCell ref="F73:F76"/>
    <mergeCell ref="B112:E112"/>
    <mergeCell ref="F112:F115"/>
    <mergeCell ref="B73:C76"/>
    <mergeCell ref="H13:H14"/>
    <mergeCell ref="A13:C14"/>
    <mergeCell ref="D13:D14"/>
    <mergeCell ref="E13:E14"/>
    <mergeCell ref="F13:F14"/>
    <mergeCell ref="G13:G14"/>
  </mergeCells>
  <phoneticPr fontId="0" type="noConversion"/>
  <pageMargins left="0.70866141732283472" right="0.70866141732283472" top="0.51181102362204722" bottom="1.3779527559055118" header="0.51181102362204722" footer="0.35433070866141736"/>
  <pageSetup paperSize="9" scale="55" fitToHeight="2" orientation="portrait" horizontalDpi="4294967292" verticalDpi="4294967292" r:id="rId1"/>
  <headerFooter alignWithMargins="0">
    <oddHeader>&amp;C&amp;F</oddHeader>
    <oddFooter>&amp;L&amp;A :page&amp;P&amp;COfcom&amp;R&amp;D</oddFooter>
  </headerFooter>
  <ignoredErrors>
    <ignoredError sqref="F77:F91" unlockedFormula="1"/>
  </ignoredErrors>
</worksheet>
</file>

<file path=xl/worksheets/sheet6.xml><?xml version="1.0" encoding="utf-8"?>
<worksheet xmlns="http://schemas.openxmlformats.org/spreadsheetml/2006/main" xmlns:r="http://schemas.openxmlformats.org/officeDocument/2006/relationships">
  <sheetPr codeName="Sheet3">
    <pageSetUpPr autoPageBreaks="0" fitToPage="1"/>
  </sheetPr>
  <dimension ref="A1:XFD24"/>
  <sheetViews>
    <sheetView defaultGridColor="0" colorId="22" workbookViewId="0">
      <pane ySplit="1" topLeftCell="A2" activePane="bottomLeft" state="frozen"/>
      <selection pane="bottomLeft" activeCell="A2" sqref="A2"/>
    </sheetView>
  </sheetViews>
  <sheetFormatPr defaultColWidth="12.7109375" defaultRowHeight="12"/>
  <cols>
    <col min="7" max="7" width="11.7109375" customWidth="1"/>
    <col min="9" max="9" width="14.140625" customWidth="1"/>
  </cols>
  <sheetData>
    <row r="1" spans="1:16384" s="17" customFormat="1" ht="40.5" customHeight="1">
      <c r="A1" s="23" t="s">
        <v>197</v>
      </c>
      <c r="L1" s="17" t="s">
        <v>7</v>
      </c>
    </row>
    <row r="2" spans="1:16384" s="17" customFormat="1" ht="15" customHeight="1">
      <c r="A2" s="37" t="s">
        <v>220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pans="1:16384">
      <c r="E3" s="27"/>
      <c r="F3" s="27"/>
      <c r="G3" s="27"/>
      <c r="H3" s="27"/>
      <c r="I3" s="27"/>
      <c r="J3" s="27"/>
      <c r="K3" s="27"/>
      <c r="L3" s="22"/>
      <c r="M3" s="22"/>
    </row>
    <row r="4" spans="1:16384" ht="15">
      <c r="C4" s="38" t="s">
        <v>288</v>
      </c>
      <c r="E4" s="27"/>
      <c r="F4" s="36"/>
      <c r="G4" s="27"/>
      <c r="H4" s="27"/>
      <c r="I4" s="53"/>
      <c r="J4" s="27"/>
      <c r="K4" s="27"/>
      <c r="L4" s="22"/>
      <c r="M4" s="36"/>
    </row>
    <row r="5" spans="1:16384">
      <c r="C5" s="34" t="s">
        <v>271</v>
      </c>
      <c r="D5" s="126">
        <f>Inputs!G4</f>
        <v>58.449999999999996</v>
      </c>
      <c r="E5" s="27"/>
      <c r="F5" s="27"/>
      <c r="G5" s="27"/>
      <c r="H5" s="27"/>
    </row>
    <row r="6" spans="1:16384">
      <c r="C6" s="34" t="s">
        <v>272</v>
      </c>
      <c r="D6" s="126">
        <f>Inputs!G5</f>
        <v>2.8</v>
      </c>
      <c r="E6" s="27"/>
      <c r="F6" s="37"/>
      <c r="G6" s="27"/>
      <c r="H6" s="27"/>
      <c r="I6" s="265"/>
      <c r="J6" s="265"/>
      <c r="K6" s="265"/>
      <c r="L6" s="265"/>
    </row>
    <row r="7" spans="1:16384">
      <c r="C7" s="34" t="s">
        <v>341</v>
      </c>
      <c r="D7" s="95">
        <v>4</v>
      </c>
      <c r="E7" s="36" t="s">
        <v>195</v>
      </c>
      <c r="F7" s="27"/>
      <c r="G7" s="27"/>
      <c r="H7" s="27"/>
      <c r="I7" s="265"/>
      <c r="J7" s="265"/>
      <c r="K7" s="265"/>
      <c r="L7" s="265"/>
      <c r="M7" s="22"/>
    </row>
    <row r="8" spans="1:16384">
      <c r="C8" s="34" t="s">
        <v>189</v>
      </c>
      <c r="D8" s="95">
        <f>Inputs!E6</f>
        <v>240</v>
      </c>
      <c r="F8" s="27"/>
      <c r="G8" s="27"/>
      <c r="H8" s="27"/>
      <c r="I8" s="265"/>
      <c r="J8" s="265"/>
      <c r="K8" s="265"/>
      <c r="L8" s="265"/>
      <c r="M8" s="22"/>
    </row>
    <row r="9" spans="1:16384">
      <c r="A9" s="28"/>
      <c r="C9" s="34" t="s">
        <v>50</v>
      </c>
      <c r="D9" s="95">
        <f>Inputs!E7</f>
        <v>980</v>
      </c>
      <c r="E9" s="27"/>
      <c r="F9" s="27"/>
      <c r="G9" s="27"/>
      <c r="H9" s="27"/>
      <c r="I9" s="265"/>
      <c r="J9" s="265"/>
      <c r="K9" s="265"/>
      <c r="L9" s="265"/>
      <c r="M9" s="22"/>
    </row>
    <row r="10" spans="1:16384">
      <c r="A10" s="27"/>
      <c r="D10" s="27"/>
      <c r="E10" s="27"/>
      <c r="F10" s="27"/>
      <c r="G10" s="27"/>
      <c r="H10" s="27"/>
      <c r="I10" s="265"/>
      <c r="J10" s="265"/>
      <c r="K10" s="265"/>
      <c r="L10" s="265"/>
      <c r="M10" s="22"/>
    </row>
    <row r="11" spans="1:16384" ht="15">
      <c r="A11" s="30"/>
      <c r="B11" s="34"/>
      <c r="C11" s="22" t="s">
        <v>276</v>
      </c>
      <c r="D11" s="228">
        <f>D5*D9/D8*D7</f>
        <v>954.68333333333317</v>
      </c>
      <c r="E11" s="266" t="s">
        <v>289</v>
      </c>
      <c r="G11" s="27"/>
      <c r="H11" s="27"/>
      <c r="I11" s="27"/>
      <c r="J11" s="27"/>
      <c r="K11" s="27"/>
      <c r="L11" s="22"/>
      <c r="M11" s="22"/>
    </row>
    <row r="12" spans="1:16384">
      <c r="A12" s="28"/>
      <c r="B12" s="34"/>
      <c r="C12" s="22" t="s">
        <v>277</v>
      </c>
      <c r="D12" s="228">
        <f>D6*D9</f>
        <v>2744</v>
      </c>
      <c r="E12" s="266" t="s">
        <v>290</v>
      </c>
      <c r="G12" s="27"/>
      <c r="H12" s="27"/>
      <c r="I12" s="27"/>
      <c r="J12" s="27"/>
      <c r="K12" s="27"/>
    </row>
    <row r="13" spans="1:16384">
      <c r="A13" s="28"/>
      <c r="B13" s="27"/>
      <c r="C13" s="48" t="s">
        <v>275</v>
      </c>
      <c r="D13" s="262">
        <f>Inputs!D76</f>
        <v>9.2999999999999999E-2</v>
      </c>
      <c r="E13" s="261"/>
      <c r="G13" s="27"/>
      <c r="H13" s="27"/>
      <c r="I13" s="27"/>
      <c r="J13" s="43"/>
      <c r="K13" s="27"/>
    </row>
    <row r="14" spans="1:16384">
      <c r="A14" s="28"/>
      <c r="B14" s="27"/>
      <c r="C14" s="250" t="s">
        <v>278</v>
      </c>
      <c r="D14" s="92">
        <f>Inputs!E10</f>
        <v>40</v>
      </c>
      <c r="E14" s="27"/>
      <c r="F14" s="27"/>
      <c r="G14" s="27"/>
      <c r="H14" s="94"/>
      <c r="I14" s="94"/>
      <c r="J14" s="70"/>
      <c r="K14" s="94"/>
      <c r="L14" s="94"/>
    </row>
    <row r="15" spans="1:16384" ht="15">
      <c r="A15" s="30"/>
      <c r="C15" s="250" t="s">
        <v>279</v>
      </c>
      <c r="D15" s="92">
        <f>Inputs!E11</f>
        <v>15</v>
      </c>
      <c r="H15" s="107"/>
      <c r="I15" s="107"/>
      <c r="J15" s="113"/>
      <c r="K15" s="107"/>
      <c r="L15" s="94"/>
    </row>
    <row r="16" spans="1:16384">
      <c r="A16" s="27"/>
      <c r="C16" s="34" t="s">
        <v>280</v>
      </c>
      <c r="D16" s="263">
        <f>-PMT(D13,D14,D11,,1)</f>
        <v>83.616032159007887</v>
      </c>
      <c r="H16" s="94"/>
      <c r="I16" s="94"/>
      <c r="J16" s="70"/>
      <c r="K16" s="94"/>
      <c r="L16" s="94"/>
    </row>
    <row r="17" spans="1:12">
      <c r="A17" s="28"/>
      <c r="C17" s="34" t="s">
        <v>281</v>
      </c>
      <c r="D17" s="263">
        <f>-PMT(D13,D15,D12,,1)</f>
        <v>316.9891765463542</v>
      </c>
      <c r="H17" s="94"/>
      <c r="I17" s="94"/>
      <c r="J17" s="70"/>
      <c r="K17" s="94"/>
      <c r="L17" s="94"/>
    </row>
    <row r="18" spans="1:12" ht="15">
      <c r="A18" s="30"/>
      <c r="C18" s="250" t="s">
        <v>77</v>
      </c>
      <c r="D18" s="264">
        <f>SUM(D16:D17)</f>
        <v>400.60520870536209</v>
      </c>
      <c r="H18" s="94"/>
      <c r="I18" s="94"/>
      <c r="J18" s="94"/>
      <c r="K18" s="94"/>
      <c r="L18" s="94"/>
    </row>
    <row r="19" spans="1:12">
      <c r="A19" s="27"/>
      <c r="F19" s="27"/>
      <c r="G19" s="27"/>
      <c r="H19" s="27"/>
      <c r="I19" s="27"/>
      <c r="J19" s="27"/>
      <c r="K19" s="27"/>
    </row>
    <row r="20" spans="1:12" ht="15">
      <c r="B20" s="429" t="s">
        <v>206</v>
      </c>
      <c r="C20" s="430"/>
      <c r="D20" s="430"/>
      <c r="E20" s="430"/>
      <c r="F20" s="430"/>
      <c r="G20" s="431"/>
    </row>
    <row r="21" spans="1:12" ht="15">
      <c r="B21" s="87"/>
      <c r="C21" s="145" t="s">
        <v>34</v>
      </c>
      <c r="D21" s="145" t="s">
        <v>40</v>
      </c>
      <c r="E21" s="145" t="s">
        <v>42</v>
      </c>
      <c r="F21" s="145" t="s">
        <v>44</v>
      </c>
      <c r="G21" s="145" t="s">
        <v>46</v>
      </c>
    </row>
    <row r="22" spans="1:12" ht="15">
      <c r="B22" s="146" t="s">
        <v>47</v>
      </c>
      <c r="C22" s="160">
        <f>$D$18</f>
        <v>400.60520870536209</v>
      </c>
      <c r="D22" s="160">
        <f>$D$18</f>
        <v>400.60520870536209</v>
      </c>
      <c r="E22" s="160">
        <f>$D$18</f>
        <v>400.60520870536209</v>
      </c>
      <c r="F22" s="160">
        <f>$D$18</f>
        <v>400.60520870536209</v>
      </c>
      <c r="G22" s="160">
        <f>$D$18</f>
        <v>400.60520870536209</v>
      </c>
    </row>
    <row r="23" spans="1:12" ht="15">
      <c r="B23" s="146" t="s">
        <v>48</v>
      </c>
      <c r="C23" s="160">
        <f>$D$18</f>
        <v>400.60520870536209</v>
      </c>
      <c r="D23" s="160">
        <f>$D$18</f>
        <v>400.60520870536209</v>
      </c>
      <c r="E23" s="160">
        <f>$D$18</f>
        <v>400.60520870536209</v>
      </c>
      <c r="F23" s="43"/>
      <c r="G23" s="62"/>
    </row>
    <row r="24" spans="1:12" ht="15">
      <c r="B24" s="146" t="s">
        <v>49</v>
      </c>
      <c r="C24" s="160">
        <v>0</v>
      </c>
      <c r="D24" s="160">
        <v>0</v>
      </c>
      <c r="E24" s="160">
        <v>0</v>
      </c>
      <c r="F24" s="67"/>
      <c r="G24" s="71"/>
      <c r="H24" s="37" t="s">
        <v>298</v>
      </c>
    </row>
  </sheetData>
  <mergeCells count="1">
    <mergeCell ref="B20:G20"/>
  </mergeCells>
  <phoneticPr fontId="0" type="noConversion"/>
  <pageMargins left="0.70866141732283472" right="0.70866141732283472" top="0.51181102362204722" bottom="0.51181102362204722" header="0.51181102362204722" footer="0.35433070866141736"/>
  <pageSetup paperSize="9" scale="84" orientation="portrait" horizontalDpi="4294967292" verticalDpi="4294967292" r:id="rId1"/>
  <headerFooter alignWithMargins="0">
    <oddHeader>&amp;C&amp;F</oddHeader>
    <oddFooter>&amp;L&amp;A :page&amp;P&amp;COfcom&amp;R&amp;D</oddFooter>
  </headerFooter>
  <ignoredErrors>
    <ignoredError sqref="D5:D9" unlockedFormula="1"/>
  </ignoredErrors>
</worksheet>
</file>

<file path=xl/worksheets/sheet7.xml><?xml version="1.0" encoding="utf-8"?>
<worksheet xmlns="http://schemas.openxmlformats.org/spreadsheetml/2006/main" xmlns:r="http://schemas.openxmlformats.org/officeDocument/2006/relationships">
  <sheetPr codeName="Sheet4">
    <pageSetUpPr autoPageBreaks="0" fitToPage="1"/>
  </sheetPr>
  <dimension ref="A1:P79"/>
  <sheetViews>
    <sheetView defaultGridColor="0" colorId="22" workbookViewId="0">
      <pane ySplit="1" topLeftCell="A2" activePane="bottomLeft" state="frozen"/>
      <selection pane="bottomLeft" activeCell="A2" sqref="A2"/>
    </sheetView>
  </sheetViews>
  <sheetFormatPr defaultColWidth="12.7109375" defaultRowHeight="12"/>
  <cols>
    <col min="1" max="1" width="12.7109375" customWidth="1"/>
  </cols>
  <sheetData>
    <row r="1" spans="1:16" s="17" customFormat="1" ht="40.5" customHeight="1">
      <c r="A1" s="49" t="s">
        <v>51</v>
      </c>
      <c r="L1" s="17" t="s">
        <v>7</v>
      </c>
    </row>
    <row r="2" spans="1:16" s="17" customFormat="1" ht="15" customHeight="1">
      <c r="A2" s="37" t="s">
        <v>221</v>
      </c>
    </row>
    <row r="3" spans="1:16" ht="15">
      <c r="B3" s="27"/>
      <c r="C3" s="27"/>
      <c r="D3" s="29"/>
      <c r="E3" s="31" t="s">
        <v>34</v>
      </c>
      <c r="F3" s="31" t="s">
        <v>40</v>
      </c>
      <c r="G3" s="31" t="s">
        <v>42</v>
      </c>
      <c r="H3" s="31" t="s">
        <v>44</v>
      </c>
      <c r="I3" s="31" t="s">
        <v>46</v>
      </c>
      <c r="M3" s="27"/>
      <c r="N3" s="27"/>
      <c r="O3" s="27"/>
      <c r="P3" s="27"/>
    </row>
    <row r="4" spans="1:16">
      <c r="A4" s="27"/>
      <c r="B4" s="27"/>
      <c r="C4" s="34" t="s">
        <v>52</v>
      </c>
      <c r="D4" s="31" t="s">
        <v>53</v>
      </c>
      <c r="E4" s="95">
        <f>Inputs!D54*Inputs!E54+Inputs!D55*Inputs!E55+Inputs!D56*Inputs!E56</f>
        <v>105</v>
      </c>
      <c r="F4" s="95">
        <f>Inputs!D58*Inputs!E58+Inputs!D59*Inputs!E59+Inputs!D60*Inputs!E60</f>
        <v>155</v>
      </c>
      <c r="G4" s="95">
        <f>Inputs!D62*Inputs!E62+Inputs!D63*Inputs!E63+Inputs!D64*Inputs!E64</f>
        <v>500</v>
      </c>
      <c r="H4" s="95">
        <f>Inputs!E66</f>
        <v>10</v>
      </c>
      <c r="I4" s="95">
        <f>Inputs!E68</f>
        <v>23</v>
      </c>
      <c r="J4" s="411" t="s">
        <v>83</v>
      </c>
      <c r="K4" s="411"/>
      <c r="L4" s="411"/>
      <c r="N4" s="27"/>
      <c r="O4" s="27"/>
      <c r="P4" s="27"/>
    </row>
    <row r="5" spans="1:16">
      <c r="A5" s="27"/>
      <c r="B5" s="27"/>
      <c r="C5" s="34" t="s">
        <v>54</v>
      </c>
      <c r="D5" s="31" t="s">
        <v>55</v>
      </c>
      <c r="E5" s="100">
        <f>Inputs!F54</f>
        <v>0.26</v>
      </c>
      <c r="F5" s="100">
        <f>Inputs!F58</f>
        <v>0.26</v>
      </c>
      <c r="G5" s="100">
        <f>Inputs!F62</f>
        <v>0.52</v>
      </c>
      <c r="H5" s="100">
        <f>Inputs!F66</f>
        <v>0.04</v>
      </c>
      <c r="I5" s="100">
        <f>Inputs!F68</f>
        <v>0.2</v>
      </c>
      <c r="J5" s="411"/>
      <c r="K5" s="411"/>
      <c r="L5" s="411"/>
      <c r="N5" s="27"/>
      <c r="O5" s="27"/>
      <c r="P5" s="27"/>
    </row>
    <row r="6" spans="1:16">
      <c r="A6" s="27"/>
      <c r="B6" s="27"/>
      <c r="C6" s="34" t="s">
        <v>56</v>
      </c>
      <c r="D6" s="31"/>
      <c r="E6" s="56">
        <f>INT(1/E5)</f>
        <v>3</v>
      </c>
      <c r="F6" s="56">
        <f>INT(1/F5)</f>
        <v>3</v>
      </c>
      <c r="G6" s="56">
        <f>INT(1/G5)</f>
        <v>1</v>
      </c>
      <c r="H6" s="56">
        <f>INT(1/H5)</f>
        <v>25</v>
      </c>
      <c r="I6" s="56">
        <f>INT(1/I5)</f>
        <v>5</v>
      </c>
      <c r="J6" s="27"/>
      <c r="K6" s="27"/>
      <c r="L6" s="27"/>
      <c r="M6" s="27"/>
      <c r="N6" s="27"/>
      <c r="O6" s="27"/>
      <c r="P6" s="27"/>
    </row>
    <row r="7" spans="1:16">
      <c r="A7" s="27"/>
      <c r="B7" s="27"/>
      <c r="C7" s="34" t="s">
        <v>57</v>
      </c>
      <c r="D7" s="31" t="s">
        <v>58</v>
      </c>
      <c r="E7" s="56">
        <f>0.6*0.3</f>
        <v>0.18</v>
      </c>
      <c r="F7" s="56">
        <f>0.6*0.3</f>
        <v>0.18</v>
      </c>
      <c r="G7" s="56">
        <f>0.6*0.3</f>
        <v>0.18</v>
      </c>
      <c r="H7" s="56">
        <f>0.6*0.3</f>
        <v>0.18</v>
      </c>
      <c r="I7" s="56">
        <f>0.6*0.3</f>
        <v>0.18</v>
      </c>
      <c r="J7" s="36" t="s">
        <v>266</v>
      </c>
      <c r="K7" s="27"/>
      <c r="L7" s="27"/>
      <c r="M7" s="27"/>
      <c r="N7" s="27"/>
      <c r="O7" s="27"/>
      <c r="P7" s="27"/>
    </row>
    <row r="8" spans="1:16">
      <c r="A8" s="27"/>
      <c r="B8" s="27"/>
      <c r="C8" s="34" t="s">
        <v>59</v>
      </c>
      <c r="D8" s="31" t="s">
        <v>58</v>
      </c>
      <c r="E8" s="56">
        <f>E7/E6</f>
        <v>0.06</v>
      </c>
      <c r="F8" s="56">
        <f>F7/F6</f>
        <v>0.06</v>
      </c>
      <c r="G8" s="56">
        <f>G7/G6</f>
        <v>0.18</v>
      </c>
      <c r="H8" s="56">
        <f>H7/H6</f>
        <v>7.1999999999999998E-3</v>
      </c>
      <c r="I8" s="56">
        <f>I7/I6</f>
        <v>3.5999999999999997E-2</v>
      </c>
      <c r="J8" s="27"/>
      <c r="K8" s="27"/>
      <c r="L8" s="27"/>
      <c r="M8" s="27"/>
      <c r="N8" s="27"/>
      <c r="O8" s="27"/>
      <c r="P8" s="27"/>
    </row>
    <row r="9" spans="1:16">
      <c r="A9" s="27"/>
      <c r="B9" s="27"/>
      <c r="C9" s="27"/>
      <c r="D9" s="27"/>
      <c r="E9" s="27"/>
      <c r="F9" s="27"/>
      <c r="G9" s="27"/>
      <c r="H9" s="27"/>
      <c r="I9" s="27"/>
      <c r="J9" s="27"/>
      <c r="K9" s="27"/>
      <c r="L9" s="27"/>
      <c r="M9" s="27"/>
      <c r="N9" s="27"/>
      <c r="O9" s="27"/>
      <c r="P9" s="27"/>
    </row>
    <row r="10" spans="1:16">
      <c r="A10" s="27"/>
      <c r="B10" s="41" t="s">
        <v>60</v>
      </c>
      <c r="C10" s="42" t="s">
        <v>61</v>
      </c>
      <c r="D10" s="27"/>
      <c r="E10" s="27"/>
      <c r="F10" s="27"/>
      <c r="G10" s="27"/>
      <c r="H10" s="27"/>
      <c r="I10" s="27"/>
      <c r="J10" s="27"/>
      <c r="K10" s="27"/>
      <c r="L10" s="27"/>
      <c r="M10" s="27"/>
      <c r="N10" s="27"/>
      <c r="O10" s="27"/>
      <c r="P10" s="27"/>
    </row>
    <row r="11" spans="1:16">
      <c r="A11" s="27"/>
      <c r="B11" s="27"/>
      <c r="C11" s="27"/>
      <c r="D11" s="27"/>
      <c r="E11" s="27"/>
      <c r="F11" s="27"/>
      <c r="G11" s="27"/>
      <c r="H11" s="27"/>
      <c r="I11" s="27"/>
      <c r="J11" s="27"/>
      <c r="K11" s="27"/>
      <c r="L11" s="27"/>
      <c r="M11" s="27"/>
      <c r="N11" s="27"/>
      <c r="O11" s="27"/>
      <c r="P11" s="27"/>
    </row>
    <row r="12" spans="1:16" ht="15">
      <c r="A12" s="27"/>
      <c r="B12" s="27"/>
      <c r="C12" s="38" t="s">
        <v>267</v>
      </c>
      <c r="D12" s="129">
        <f>Inputs!G17</f>
        <v>179.76</v>
      </c>
      <c r="E12" s="36" t="s">
        <v>62</v>
      </c>
      <c r="F12" s="27"/>
      <c r="G12" s="27"/>
      <c r="H12" s="27"/>
      <c r="I12" s="27"/>
      <c r="J12" s="27"/>
      <c r="K12" s="27"/>
      <c r="L12" s="27"/>
      <c r="M12" s="27"/>
      <c r="N12" s="27"/>
      <c r="O12" s="27"/>
      <c r="P12" s="27"/>
    </row>
    <row r="13" spans="1:16">
      <c r="A13" s="27"/>
      <c r="B13" s="27"/>
      <c r="C13" s="27"/>
      <c r="D13" s="27"/>
      <c r="E13" s="27"/>
      <c r="F13" s="27"/>
      <c r="G13" s="27"/>
      <c r="N13" s="27"/>
      <c r="O13" s="27"/>
      <c r="P13" s="27"/>
    </row>
    <row r="14" spans="1:16" ht="15">
      <c r="A14" s="27"/>
      <c r="B14" s="38" t="s">
        <v>63</v>
      </c>
      <c r="C14" s="27"/>
      <c r="D14" s="27"/>
      <c r="E14" s="27"/>
      <c r="F14" s="27"/>
      <c r="G14" s="27"/>
    </row>
    <row r="15" spans="1:16">
      <c r="A15" s="27"/>
      <c r="B15" s="31" t="s">
        <v>64</v>
      </c>
      <c r="C15" s="31" t="s">
        <v>65</v>
      </c>
      <c r="D15" s="31" t="s">
        <v>261</v>
      </c>
      <c r="E15" s="31" t="s">
        <v>67</v>
      </c>
      <c r="F15" s="27" t="s">
        <v>320</v>
      </c>
      <c r="G15" s="27"/>
    </row>
    <row r="16" spans="1:16">
      <c r="A16" s="27"/>
      <c r="B16" s="31">
        <f>Inputs!C20</f>
        <v>1</v>
      </c>
      <c r="C16" s="31">
        <f>Inputs!D20</f>
        <v>3</v>
      </c>
      <c r="D16" s="127">
        <f>Inputs!G20</f>
        <v>3449.8799999999997</v>
      </c>
      <c r="E16" s="128">
        <f>D16/C16</f>
        <v>1149.9599999999998</v>
      </c>
      <c r="F16" s="128">
        <f>SUM(D16:D22)/SUM(C16:C22)</f>
        <v>933.05935483870951</v>
      </c>
      <c r="G16" s="27"/>
    </row>
    <row r="17" spans="1:15">
      <c r="A17" s="27"/>
      <c r="B17" s="31">
        <f>Inputs!C21</f>
        <v>4</v>
      </c>
      <c r="C17" s="31">
        <f>Inputs!D21</f>
        <v>6</v>
      </c>
      <c r="D17" s="127">
        <f>Inputs!G21</f>
        <v>4361.5599999999995</v>
      </c>
      <c r="E17" s="128">
        <f t="shared" ref="E17:E22" si="0">D17/C17</f>
        <v>726.92666666666662</v>
      </c>
      <c r="F17" s="27"/>
      <c r="G17" s="27"/>
    </row>
    <row r="18" spans="1:15">
      <c r="A18" s="27"/>
      <c r="B18" s="31">
        <f>Inputs!C22</f>
        <v>7</v>
      </c>
      <c r="C18" s="31">
        <f>Inputs!D22</f>
        <v>9</v>
      </c>
      <c r="D18" s="127">
        <f>Inputs!G22</f>
        <v>5413.7999999999993</v>
      </c>
      <c r="E18" s="128">
        <f t="shared" si="0"/>
        <v>601.5333333333333</v>
      </c>
      <c r="F18" s="27"/>
      <c r="G18" s="27"/>
    </row>
    <row r="19" spans="1:15">
      <c r="A19" s="27"/>
      <c r="B19" s="31"/>
      <c r="C19" s="31">
        <f>Inputs!D23</f>
        <v>1</v>
      </c>
      <c r="D19" s="127">
        <f>Inputs!G23</f>
        <v>2772.8399999999997</v>
      </c>
      <c r="E19" s="128">
        <f t="shared" si="0"/>
        <v>2772.8399999999997</v>
      </c>
      <c r="F19" s="27"/>
      <c r="G19" s="27"/>
    </row>
    <row r="20" spans="1:15">
      <c r="A20" s="27"/>
      <c r="B20" s="31"/>
      <c r="C20" s="31">
        <f>Inputs!D24</f>
        <v>2</v>
      </c>
      <c r="D20" s="127">
        <f>Inputs!G24</f>
        <v>2943.36</v>
      </c>
      <c r="E20" s="128">
        <f t="shared" si="0"/>
        <v>1471.68</v>
      </c>
      <c r="F20" s="27"/>
      <c r="G20" s="27"/>
    </row>
    <row r="21" spans="1:15">
      <c r="A21" s="27"/>
      <c r="B21" s="31"/>
      <c r="C21" s="31">
        <f>Inputs!D25</f>
        <v>3</v>
      </c>
      <c r="D21" s="127">
        <f>Inputs!G25</f>
        <v>4571.28</v>
      </c>
      <c r="E21" s="128">
        <f t="shared" si="0"/>
        <v>1523.76</v>
      </c>
      <c r="F21" s="27"/>
      <c r="G21" s="27"/>
    </row>
    <row r="22" spans="1:15">
      <c r="A22" s="27"/>
      <c r="B22" s="31"/>
      <c r="C22" s="31">
        <f>Inputs!D26</f>
        <v>7</v>
      </c>
      <c r="D22" s="127">
        <f>Inputs!G26</f>
        <v>5412.12</v>
      </c>
      <c r="E22" s="128">
        <f t="shared" si="0"/>
        <v>773.16</v>
      </c>
      <c r="F22" s="27"/>
      <c r="G22" s="27"/>
    </row>
    <row r="23" spans="1:15">
      <c r="A23" s="27"/>
      <c r="B23" s="27"/>
      <c r="C23" s="27"/>
      <c r="D23" s="27"/>
      <c r="E23" s="27"/>
      <c r="F23" s="27"/>
      <c r="G23" s="27"/>
    </row>
    <row r="24" spans="1:15" ht="15">
      <c r="A24" s="27"/>
      <c r="C24" s="38" t="s">
        <v>268</v>
      </c>
      <c r="D24" s="127">
        <f>Inputs!G29</f>
        <v>1081.8499999999999</v>
      </c>
      <c r="E24" s="27"/>
      <c r="F24" s="27"/>
      <c r="G24" s="27"/>
    </row>
    <row r="25" spans="1:15">
      <c r="A25" s="27"/>
      <c r="B25" s="27"/>
      <c r="C25" s="27"/>
      <c r="D25" s="27"/>
      <c r="E25" s="27"/>
      <c r="F25" s="27"/>
      <c r="G25" s="27"/>
    </row>
    <row r="26" spans="1:15" ht="15">
      <c r="A26" s="27"/>
      <c r="B26" s="38" t="s">
        <v>73</v>
      </c>
      <c r="C26" s="31" t="s">
        <v>78</v>
      </c>
      <c r="D26" s="31" t="s">
        <v>261</v>
      </c>
      <c r="E26" s="27"/>
      <c r="F26" s="27" t="s">
        <v>321</v>
      </c>
      <c r="G26" s="27"/>
      <c r="N26" s="27"/>
      <c r="O26" s="27"/>
    </row>
    <row r="27" spans="1:15">
      <c r="A27" s="27"/>
      <c r="B27" s="27"/>
      <c r="C27" s="95">
        <f>Inputs!D32</f>
        <v>1000</v>
      </c>
      <c r="D27" s="129">
        <f>Inputs!G32</f>
        <v>350.28</v>
      </c>
      <c r="E27" s="128">
        <f>D27/C27</f>
        <v>0.35027999999999998</v>
      </c>
      <c r="F27" s="128">
        <f>SUM(D27:D34)/SUM(C27:C34)</f>
        <v>0.14554702702702702</v>
      </c>
      <c r="G27" s="27"/>
      <c r="N27" s="27"/>
      <c r="O27" s="27"/>
    </row>
    <row r="28" spans="1:15">
      <c r="A28" s="27"/>
      <c r="B28" s="27"/>
      <c r="C28" s="95">
        <f>Inputs!D33</f>
        <v>1500</v>
      </c>
      <c r="D28" s="129">
        <f>Inputs!G33</f>
        <v>431.75999999999993</v>
      </c>
      <c r="E28" s="128">
        <f t="shared" ref="E28:E34" si="1">D28/C28</f>
        <v>0.28783999999999993</v>
      </c>
      <c r="F28" s="286"/>
      <c r="N28" s="27"/>
      <c r="O28" s="27"/>
    </row>
    <row r="29" spans="1:15" ht="12" customHeight="1">
      <c r="A29" s="27"/>
      <c r="B29" s="27"/>
      <c r="C29" s="95">
        <f>Inputs!D34</f>
        <v>3000</v>
      </c>
      <c r="D29" s="129">
        <f>Inputs!G34</f>
        <v>487.2</v>
      </c>
      <c r="E29" s="128">
        <f t="shared" si="1"/>
        <v>0.16239999999999999</v>
      </c>
      <c r="F29" s="27"/>
      <c r="G29" s="27"/>
      <c r="N29" s="27"/>
      <c r="O29" s="27"/>
    </row>
    <row r="30" spans="1:15">
      <c r="A30" s="27"/>
      <c r="B30" s="27"/>
      <c r="C30" s="95">
        <f>Inputs!D35</f>
        <v>4000</v>
      </c>
      <c r="D30" s="129">
        <f>Inputs!G35</f>
        <v>1181.04</v>
      </c>
      <c r="E30" s="128">
        <f t="shared" si="1"/>
        <v>0.29525999999999997</v>
      </c>
      <c r="F30" s="27"/>
      <c r="G30" s="27"/>
      <c r="N30" s="27"/>
      <c r="O30" s="27"/>
    </row>
    <row r="31" spans="1:15">
      <c r="A31" s="27"/>
      <c r="B31" s="27"/>
      <c r="C31" s="95">
        <f>Inputs!D36</f>
        <v>4500</v>
      </c>
      <c r="D31" s="129">
        <f>Inputs!G36</f>
        <v>490.55999999999995</v>
      </c>
      <c r="E31" s="128">
        <f t="shared" si="1"/>
        <v>0.10901333333333332</v>
      </c>
      <c r="F31" s="27"/>
      <c r="G31" s="27"/>
      <c r="N31" s="27"/>
      <c r="O31" s="27"/>
    </row>
    <row r="32" spans="1:15">
      <c r="A32" s="27"/>
      <c r="B32" s="27"/>
      <c r="C32" s="95">
        <f>Inputs!D37</f>
        <v>6000</v>
      </c>
      <c r="D32" s="129">
        <f>Inputs!G37</f>
        <v>514.91999999999996</v>
      </c>
      <c r="E32" s="128">
        <f t="shared" si="1"/>
        <v>8.5819999999999994E-2</v>
      </c>
      <c r="F32" s="27"/>
      <c r="G32" s="27"/>
      <c r="N32" s="27"/>
      <c r="O32" s="27"/>
    </row>
    <row r="33" spans="1:15">
      <c r="A33" s="27"/>
      <c r="B33" s="27"/>
      <c r="C33" s="95">
        <f>Inputs!D38</f>
        <v>8000</v>
      </c>
      <c r="D33" s="129">
        <f>Inputs!G38</f>
        <v>1354.9199999999998</v>
      </c>
      <c r="E33" s="128">
        <f t="shared" si="1"/>
        <v>0.16936499999999999</v>
      </c>
      <c r="F33" s="27"/>
      <c r="G33" s="27"/>
      <c r="N33" s="27"/>
      <c r="O33" s="27"/>
    </row>
    <row r="34" spans="1:15">
      <c r="A34" s="27"/>
      <c r="B34" s="27"/>
      <c r="C34" s="95">
        <f>Inputs!D39</f>
        <v>9000</v>
      </c>
      <c r="D34" s="129">
        <f>Inputs!G39</f>
        <v>574.55999999999995</v>
      </c>
      <c r="E34" s="128">
        <f t="shared" si="1"/>
        <v>6.3839999999999994E-2</v>
      </c>
      <c r="F34" s="27"/>
      <c r="G34" s="27"/>
      <c r="N34" s="27"/>
      <c r="O34" s="27"/>
    </row>
    <row r="35" spans="1:15">
      <c r="A35" s="27"/>
      <c r="B35" s="27"/>
      <c r="C35" s="27"/>
      <c r="D35" s="27"/>
      <c r="E35" s="33"/>
      <c r="F35" s="27"/>
      <c r="G35" s="27"/>
      <c r="N35" s="27"/>
      <c r="O35" s="27"/>
    </row>
    <row r="36" spans="1:15" ht="15">
      <c r="A36" s="27"/>
      <c r="B36" s="27"/>
      <c r="C36" s="27"/>
      <c r="D36" s="38" t="s">
        <v>269</v>
      </c>
      <c r="E36" s="129">
        <f>Inputs!G42</f>
        <v>9.2399999999999984</v>
      </c>
      <c r="F36" s="27"/>
      <c r="G36" s="27"/>
      <c r="H36" s="27"/>
      <c r="I36" s="27"/>
      <c r="J36" s="27"/>
      <c r="K36" s="27"/>
      <c r="L36" s="27"/>
      <c r="M36" s="27"/>
      <c r="N36" s="27"/>
      <c r="O36" s="27"/>
    </row>
    <row r="37" spans="1:15" ht="15">
      <c r="A37" s="27"/>
      <c r="B37" s="27"/>
      <c r="C37" s="27"/>
      <c r="D37" s="38" t="s">
        <v>270</v>
      </c>
      <c r="E37" s="130">
        <f>Inputs!G44</f>
        <v>5.6839999999999995E-2</v>
      </c>
      <c r="F37" s="27"/>
      <c r="G37" s="27"/>
      <c r="H37" s="107"/>
      <c r="I37" s="107"/>
      <c r="J37" s="107"/>
      <c r="K37" s="107"/>
      <c r="L37" s="107"/>
      <c r="M37" s="107"/>
      <c r="N37" s="27"/>
      <c r="O37" s="27"/>
    </row>
    <row r="38" spans="1:15">
      <c r="A38" s="27"/>
      <c r="B38" s="27"/>
      <c r="C38" s="27"/>
      <c r="D38" s="27"/>
      <c r="E38" s="27"/>
      <c r="F38" s="27"/>
      <c r="H38" s="107"/>
      <c r="I38" s="107"/>
      <c r="J38" s="107"/>
      <c r="K38" s="107"/>
      <c r="L38" s="107"/>
      <c r="M38" s="107"/>
      <c r="N38" s="27"/>
      <c r="O38" s="27"/>
    </row>
    <row r="39" spans="1:15" ht="15">
      <c r="A39" s="27"/>
      <c r="B39" s="38" t="s">
        <v>76</v>
      </c>
      <c r="C39" s="27"/>
      <c r="D39" s="31" t="s">
        <v>261</v>
      </c>
      <c r="F39" s="27"/>
      <c r="H39" s="107"/>
      <c r="I39" s="107"/>
      <c r="J39" s="107"/>
      <c r="K39" s="107"/>
      <c r="L39" s="107"/>
      <c r="M39" s="107"/>
      <c r="N39" s="27"/>
      <c r="O39" s="27"/>
    </row>
    <row r="40" spans="1:15">
      <c r="A40" s="27"/>
      <c r="B40" s="27" t="s">
        <v>80</v>
      </c>
      <c r="C40" s="27"/>
      <c r="D40" s="129">
        <f>Inputs!G46</f>
        <v>15.959999999999999</v>
      </c>
      <c r="F40" s="27"/>
      <c r="H40" s="107"/>
      <c r="I40" s="107"/>
      <c r="J40" s="107"/>
      <c r="K40" s="107"/>
      <c r="L40" s="107"/>
      <c r="M40" s="107"/>
      <c r="N40" s="27"/>
      <c r="O40" s="27"/>
    </row>
    <row r="41" spans="1:15">
      <c r="A41" s="27"/>
      <c r="B41" s="27" t="s">
        <v>81</v>
      </c>
      <c r="C41" s="27"/>
      <c r="D41" s="129">
        <f>Inputs!G47</f>
        <v>37.799999999999997</v>
      </c>
      <c r="F41" s="27"/>
      <c r="G41" s="27"/>
      <c r="H41" s="107"/>
      <c r="I41" s="107"/>
      <c r="J41" s="107"/>
      <c r="K41" s="107"/>
      <c r="L41" s="107"/>
      <c r="M41" s="107"/>
      <c r="N41" s="27"/>
      <c r="O41" s="27"/>
    </row>
    <row r="42" spans="1:15">
      <c r="A42" s="27"/>
      <c r="B42" s="27"/>
      <c r="C42" s="27"/>
      <c r="D42" s="27"/>
      <c r="E42" s="27"/>
      <c r="F42" s="27"/>
      <c r="G42" s="27"/>
      <c r="H42" s="107"/>
      <c r="I42" s="107"/>
      <c r="J42" s="107"/>
      <c r="K42" s="107"/>
      <c r="L42" s="107"/>
      <c r="M42" s="107"/>
      <c r="N42" s="27"/>
      <c r="O42" s="27"/>
    </row>
    <row r="43" spans="1:15">
      <c r="A43" s="27"/>
      <c r="G43" s="27"/>
      <c r="H43" s="107"/>
      <c r="I43" s="107"/>
      <c r="J43" s="107"/>
      <c r="K43" s="107"/>
      <c r="L43" s="107"/>
      <c r="M43" s="107"/>
      <c r="O43" s="27"/>
    </row>
    <row r="44" spans="1:15">
      <c r="A44" s="27"/>
      <c r="B44" s="506" t="s">
        <v>257</v>
      </c>
      <c r="C44" s="507"/>
      <c r="D44" s="507"/>
      <c r="E44" s="507"/>
      <c r="F44" s="507"/>
      <c r="G44" s="508"/>
      <c r="H44" s="107"/>
      <c r="I44" s="107"/>
      <c r="J44" s="107"/>
      <c r="K44" s="107"/>
      <c r="L44" s="107"/>
      <c r="M44" s="107"/>
      <c r="O44" s="27"/>
    </row>
    <row r="45" spans="1:15">
      <c r="A45" s="27"/>
      <c r="B45" s="58"/>
      <c r="C45" s="46" t="s">
        <v>34</v>
      </c>
      <c r="D45" s="46" t="s">
        <v>40</v>
      </c>
      <c r="E45" s="46" t="s">
        <v>42</v>
      </c>
      <c r="F45" s="46" t="s">
        <v>44</v>
      </c>
      <c r="G45" s="59" t="s">
        <v>46</v>
      </c>
      <c r="H45" s="107"/>
      <c r="I45" s="107"/>
      <c r="J45" s="107"/>
      <c r="K45" s="107"/>
      <c r="L45" s="107"/>
      <c r="M45" s="107"/>
      <c r="O45" s="27"/>
    </row>
    <row r="46" spans="1:15">
      <c r="A46" s="27"/>
      <c r="B46" s="60" t="s">
        <v>68</v>
      </c>
      <c r="C46" s="57">
        <f>E8*3.85</f>
        <v>0.23099999999999998</v>
      </c>
      <c r="D46" s="57">
        <f>F8*3.85</f>
        <v>0.23099999999999998</v>
      </c>
      <c r="E46" s="57">
        <f>G8*3.85</f>
        <v>0.69299999999999995</v>
      </c>
      <c r="F46" s="57">
        <f>H8*3.85</f>
        <v>2.7720000000000002E-2</v>
      </c>
      <c r="G46" s="61">
        <f>I8*3.85</f>
        <v>0.1386</v>
      </c>
      <c r="H46" s="493" t="s">
        <v>273</v>
      </c>
      <c r="I46" s="411"/>
      <c r="J46" s="411"/>
      <c r="K46" s="107"/>
      <c r="L46" s="107"/>
      <c r="M46" s="107"/>
      <c r="O46" s="27"/>
    </row>
    <row r="47" spans="1:15">
      <c r="A47" s="27"/>
      <c r="B47" s="60" t="s">
        <v>69</v>
      </c>
      <c r="C47" s="57">
        <f>E4/500</f>
        <v>0.21</v>
      </c>
      <c r="D47" s="57">
        <f>F4/500</f>
        <v>0.31</v>
      </c>
      <c r="E47" s="57">
        <f>G4/500</f>
        <v>1</v>
      </c>
      <c r="F47" s="57">
        <f>H4/500</f>
        <v>0.02</v>
      </c>
      <c r="G47" s="61">
        <f>I4/500</f>
        <v>4.5999999999999999E-2</v>
      </c>
      <c r="H47" s="493"/>
      <c r="I47" s="411"/>
      <c r="J47" s="411"/>
      <c r="K47" s="27"/>
      <c r="L47" s="27"/>
      <c r="M47" s="27"/>
      <c r="N47" s="27"/>
      <c r="O47" s="27"/>
    </row>
    <row r="48" spans="1:15">
      <c r="A48" s="27"/>
      <c r="B48" s="60"/>
      <c r="C48" s="43"/>
      <c r="D48" s="43"/>
      <c r="E48" s="43"/>
      <c r="F48" s="43"/>
      <c r="G48" s="62"/>
      <c r="I48" s="27"/>
      <c r="J48" s="27"/>
      <c r="K48" s="27"/>
      <c r="L48" s="27"/>
      <c r="M48" s="27"/>
      <c r="N48" s="27"/>
      <c r="O48" s="27"/>
    </row>
    <row r="49" spans="1:15">
      <c r="A49" s="27"/>
      <c r="B49" s="60" t="s">
        <v>70</v>
      </c>
      <c r="C49" s="131">
        <f>MAX(C46:C47)*$D12</f>
        <v>41.524559999999994</v>
      </c>
      <c r="D49" s="131">
        <f>MAX(D46:D47)*$D12</f>
        <v>55.7256</v>
      </c>
      <c r="E49" s="131">
        <f>MAX(E46:E47)*$D12</f>
        <v>179.76</v>
      </c>
      <c r="F49" s="131">
        <f>MAX(F46:F47)*$D12</f>
        <v>4.9829471999999999</v>
      </c>
      <c r="G49" s="132">
        <f>MAX(G46:G47)*$D12</f>
        <v>24.914735999999998</v>
      </c>
      <c r="I49" s="27"/>
      <c r="J49" s="27"/>
      <c r="K49" s="27"/>
      <c r="L49" s="27"/>
      <c r="M49" s="27"/>
      <c r="N49" s="27"/>
      <c r="O49" s="27"/>
    </row>
    <row r="50" spans="1:15">
      <c r="A50" s="27"/>
      <c r="B50" s="60" t="s">
        <v>71</v>
      </c>
      <c r="C50" s="131">
        <f>$F16/E6</f>
        <v>311.01978494623648</v>
      </c>
      <c r="D50" s="131">
        <f>$F16/F6</f>
        <v>311.01978494623648</v>
      </c>
      <c r="E50" s="131">
        <f>$F16/G6</f>
        <v>933.05935483870951</v>
      </c>
      <c r="F50" s="131">
        <f>$F16/H6</f>
        <v>37.322374193548377</v>
      </c>
      <c r="G50" s="132">
        <f>$F16/I6</f>
        <v>186.61187096774191</v>
      </c>
      <c r="N50" s="27"/>
      <c r="O50" s="27"/>
    </row>
    <row r="51" spans="1:15">
      <c r="A51" s="27"/>
      <c r="B51" s="60" t="s">
        <v>72</v>
      </c>
      <c r="C51" s="131">
        <f>$D24*E4/1000</f>
        <v>113.59424999999999</v>
      </c>
      <c r="D51" s="131">
        <f>$D24*F4/1000</f>
        <v>167.68674999999999</v>
      </c>
      <c r="E51" s="131">
        <f>$D24*G4/1000</f>
        <v>540.92499999999995</v>
      </c>
      <c r="F51" s="131">
        <f>$D24*H4/1000</f>
        <v>10.8185</v>
      </c>
      <c r="G51" s="132">
        <f>$D24*I4/1000</f>
        <v>24.882549999999998</v>
      </c>
      <c r="N51" s="27"/>
      <c r="O51" s="27"/>
    </row>
    <row r="52" spans="1:15">
      <c r="B52" s="60" t="s">
        <v>73</v>
      </c>
      <c r="C52" s="131">
        <f>$F27*E4</f>
        <v>15.282437837837836</v>
      </c>
      <c r="D52" s="131">
        <f>$F27*F4</f>
        <v>22.559789189189189</v>
      </c>
      <c r="E52" s="131">
        <f>$F27*G4</f>
        <v>72.773513513513507</v>
      </c>
      <c r="F52" s="131">
        <f>$F27*H4</f>
        <v>1.4554702702702702</v>
      </c>
      <c r="G52" s="132">
        <f>$F27*I4</f>
        <v>3.3475816216216212</v>
      </c>
    </row>
    <row r="53" spans="1:15">
      <c r="B53" s="60" t="s">
        <v>74</v>
      </c>
      <c r="C53" s="131">
        <f>$E36*E4/1000</f>
        <v>0.97019999999999984</v>
      </c>
      <c r="D53" s="131">
        <f>$E36*F4/1000</f>
        <v>1.4321999999999999</v>
      </c>
      <c r="E53" s="131">
        <f>$E36*G4/1000</f>
        <v>4.6199999999999992</v>
      </c>
      <c r="F53" s="131">
        <f>$E36*H4/1000</f>
        <v>9.2399999999999982E-2</v>
      </c>
      <c r="G53" s="132">
        <f>$E36*I4/1000</f>
        <v>0.21251999999999996</v>
      </c>
    </row>
    <row r="54" spans="1:15">
      <c r="B54" s="60" t="s">
        <v>75</v>
      </c>
      <c r="C54" s="131">
        <f>$E37*E4*365.25*24/1000</f>
        <v>52.317241199999998</v>
      </c>
      <c r="D54" s="131">
        <f>$E37*F4*365.25*24/1000</f>
        <v>77.230213199999994</v>
      </c>
      <c r="E54" s="131">
        <f>$E37*G4*365.25*24/1000</f>
        <v>249.12971999999996</v>
      </c>
      <c r="F54" s="131">
        <f>$E37*H4*365.25*24/1000</f>
        <v>4.9825944</v>
      </c>
      <c r="G54" s="132">
        <f>$E37*I4*365.25*24/1000</f>
        <v>11.459967119999998</v>
      </c>
    </row>
    <row r="55" spans="1:15">
      <c r="B55" s="60" t="s">
        <v>84</v>
      </c>
      <c r="C55" s="131">
        <f>MAX(C46:C47)*($D40+$D41)</f>
        <v>12.418559999999999</v>
      </c>
      <c r="D55" s="131">
        <f>MAX(D46:D47)*($D40+$D41)</f>
        <v>16.665599999999998</v>
      </c>
      <c r="E55" s="131">
        <f>MAX(E46:E47)*($D40+$D41)</f>
        <v>53.76</v>
      </c>
      <c r="F55" s="131">
        <f>MAX(F46:F47)*($D40+$D41)</f>
        <v>1.4902272000000001</v>
      </c>
      <c r="G55" s="132">
        <f>MAX(G46:G47)*($D40+$D41)</f>
        <v>7.451136</v>
      </c>
    </row>
    <row r="56" spans="1:15">
      <c r="B56" s="63" t="s">
        <v>77</v>
      </c>
      <c r="C56" s="133">
        <f>SUM(C49:C55)</f>
        <v>547.12703398407427</v>
      </c>
      <c r="D56" s="133">
        <f>SUM(D49:D55)</f>
        <v>652.31993733542572</v>
      </c>
      <c r="E56" s="133">
        <f>SUM(E49:E55)</f>
        <v>2034.0275883522227</v>
      </c>
      <c r="F56" s="133">
        <f>SUM(F49:F55)</f>
        <v>61.144513263818645</v>
      </c>
      <c r="G56" s="134">
        <f>SUM(G49:G55)</f>
        <v>258.88036170936357</v>
      </c>
      <c r="H56" s="37" t="s">
        <v>322</v>
      </c>
      <c r="J56" s="285"/>
      <c r="K56" s="285"/>
      <c r="L56" s="285"/>
      <c r="M56" s="285"/>
      <c r="N56" s="285"/>
    </row>
    <row r="57" spans="1:15">
      <c r="B57" s="27"/>
      <c r="C57" s="27"/>
      <c r="D57" s="34"/>
      <c r="E57" s="27"/>
      <c r="F57" s="27"/>
      <c r="G57" s="27"/>
      <c r="J57" s="285"/>
      <c r="K57" s="285"/>
      <c r="L57" s="285"/>
      <c r="M57" s="92"/>
      <c r="N57" s="92"/>
    </row>
    <row r="58" spans="1:15" s="22" customFormat="1">
      <c r="B58" s="27"/>
      <c r="C58" s="27"/>
      <c r="D58" s="34"/>
      <c r="E58" s="27"/>
      <c r="F58" s="27"/>
      <c r="G58" s="27"/>
      <c r="J58" s="285"/>
      <c r="K58" s="285"/>
      <c r="L58" s="285"/>
      <c r="M58" s="92"/>
      <c r="N58" s="92"/>
    </row>
    <row r="59" spans="1:15" ht="15.75">
      <c r="A59" s="4" t="s">
        <v>82</v>
      </c>
      <c r="B59" s="27"/>
      <c r="C59" s="27"/>
      <c r="D59" s="27"/>
      <c r="E59" s="27"/>
      <c r="F59" s="27"/>
      <c r="G59" s="27"/>
      <c r="J59" s="285"/>
      <c r="K59" s="285"/>
      <c r="L59" s="285"/>
      <c r="M59" s="92"/>
      <c r="N59" s="92"/>
    </row>
    <row r="60" spans="1:15">
      <c r="C60" s="251" t="s">
        <v>312</v>
      </c>
      <c r="D60" s="287">
        <f>Inputs!E50/(1-Inputs!E50)*Summary!I37</f>
        <v>1136099.345937914</v>
      </c>
    </row>
    <row r="62" spans="1:15" ht="12" customHeight="1">
      <c r="B62" s="477" t="s">
        <v>315</v>
      </c>
      <c r="C62" s="477"/>
      <c r="D62" s="477"/>
      <c r="E62" s="477"/>
      <c r="F62" s="477"/>
      <c r="G62" s="477"/>
      <c r="H62" s="505" t="s">
        <v>313</v>
      </c>
      <c r="I62" s="435"/>
    </row>
    <row r="63" spans="1:15">
      <c r="B63" s="168"/>
      <c r="C63" s="255" t="s">
        <v>34</v>
      </c>
      <c r="D63" s="255" t="s">
        <v>40</v>
      </c>
      <c r="E63" s="255" t="s">
        <v>42</v>
      </c>
      <c r="F63" s="255" t="s">
        <v>44</v>
      </c>
      <c r="G63" s="255" t="s">
        <v>46</v>
      </c>
      <c r="H63" s="505"/>
      <c r="I63" s="435"/>
    </row>
    <row r="64" spans="1:15">
      <c r="B64" s="252" t="s">
        <v>316</v>
      </c>
      <c r="C64" s="279">
        <f>2*C56/$F$56</f>
        <v>17.896193943793435</v>
      </c>
      <c r="D64" s="279">
        <f t="shared" ref="D64:E64" si="2">2*D56/$F$56</f>
        <v>21.336990108037259</v>
      </c>
      <c r="E64" s="279">
        <f t="shared" si="2"/>
        <v>66.531810616467141</v>
      </c>
      <c r="F64" s="279">
        <f>2*F56/$F$56</f>
        <v>2</v>
      </c>
      <c r="G64" s="279">
        <f>2*G56/$F$56</f>
        <v>8.4678198546574137</v>
      </c>
      <c r="H64" s="505"/>
      <c r="I64" s="435"/>
    </row>
    <row r="65" spans="2:13" s="22" customFormat="1">
      <c r="B65" s="252" t="s">
        <v>304</v>
      </c>
      <c r="C65" s="280">
        <f>Summary!D30</f>
        <v>95</v>
      </c>
      <c r="D65" s="280">
        <f>Summary!E30</f>
        <v>195</v>
      </c>
      <c r="E65" s="280">
        <f>Summary!F30</f>
        <v>52</v>
      </c>
      <c r="F65" s="280">
        <f>Summary!G30</f>
        <v>716</v>
      </c>
      <c r="G65" s="280">
        <f>Summary!H30</f>
        <v>1194</v>
      </c>
      <c r="H65" s="505"/>
      <c r="I65" s="435"/>
    </row>
    <row r="66" spans="2:13" s="22" customFormat="1">
      <c r="B66" s="252" t="s">
        <v>317</v>
      </c>
      <c r="C66" s="279">
        <f>C56/$F$56</f>
        <v>8.9480969718967174</v>
      </c>
      <c r="D66" s="279">
        <f t="shared" ref="D66:E66" si="3">D56/$F$56</f>
        <v>10.66849505401863</v>
      </c>
      <c r="E66" s="279">
        <f t="shared" si="3"/>
        <v>33.26590530823357</v>
      </c>
      <c r="F66" s="509"/>
      <c r="G66" s="510"/>
      <c r="H66" s="505"/>
      <c r="I66" s="435"/>
    </row>
    <row r="67" spans="2:13">
      <c r="B67" s="252" t="s">
        <v>307</v>
      </c>
      <c r="C67" s="275">
        <f>Summary!D32</f>
        <v>0</v>
      </c>
      <c r="D67" s="275">
        <f>Summary!E32</f>
        <v>60</v>
      </c>
      <c r="E67" s="275">
        <f>Summary!F32</f>
        <v>29</v>
      </c>
      <c r="F67" s="511"/>
      <c r="G67" s="512"/>
      <c r="H67" s="505"/>
      <c r="I67" s="435"/>
    </row>
    <row r="68" spans="2:13">
      <c r="B68" s="252" t="s">
        <v>318</v>
      </c>
      <c r="C68" s="279">
        <f>C56/$F$56</f>
        <v>8.9480969718967174</v>
      </c>
      <c r="D68" s="279">
        <f t="shared" ref="D68:E68" si="4">D56/$F$56</f>
        <v>10.66849505401863</v>
      </c>
      <c r="E68" s="279">
        <f t="shared" si="4"/>
        <v>33.26590530823357</v>
      </c>
      <c r="F68" s="511"/>
      <c r="G68" s="512"/>
      <c r="H68" s="505"/>
      <c r="I68" s="435"/>
    </row>
    <row r="69" spans="2:13">
      <c r="B69" s="252" t="s">
        <v>306</v>
      </c>
      <c r="C69" s="275">
        <f>Summary!D34</f>
        <v>12</v>
      </c>
      <c r="D69" s="275">
        <f>Summary!E34</f>
        <v>307</v>
      </c>
      <c r="E69" s="275">
        <f>Summary!F34</f>
        <v>110</v>
      </c>
      <c r="F69" s="511"/>
      <c r="G69" s="512"/>
    </row>
    <row r="70" spans="2:13">
      <c r="B70" s="252" t="s">
        <v>319</v>
      </c>
      <c r="C70" s="279">
        <f>C64</f>
        <v>17.896193943793435</v>
      </c>
      <c r="D70" s="279">
        <f t="shared" ref="D70:E70" si="5">D64</f>
        <v>21.336990108037259</v>
      </c>
      <c r="E70" s="279">
        <f t="shared" si="5"/>
        <v>66.531810616467141</v>
      </c>
      <c r="F70" s="511"/>
      <c r="G70" s="512"/>
      <c r="H70" s="37" t="s">
        <v>323</v>
      </c>
    </row>
    <row r="71" spans="2:13">
      <c r="B71" s="252" t="s">
        <v>310</v>
      </c>
      <c r="C71" s="277">
        <f>Summary!D36</f>
        <v>135</v>
      </c>
      <c r="D71" s="277">
        <f>Summary!E36</f>
        <v>57</v>
      </c>
      <c r="E71" s="277">
        <f>Summary!F36</f>
        <v>12</v>
      </c>
      <c r="F71" s="511"/>
      <c r="G71" s="512"/>
    </row>
    <row r="72" spans="2:13">
      <c r="B72" s="281" t="s">
        <v>77</v>
      </c>
      <c r="C72" s="279">
        <f>C64*C65+C66*C67+C68*C69+C70*C71</f>
        <v>4223.5017707352508</v>
      </c>
      <c r="D72" s="279">
        <f t="shared" ref="D72:E72" si="6">D64*D65+D66*D67+D68*D69+D70*D71</f>
        <v>9292.2591920502273</v>
      </c>
      <c r="E72" s="279">
        <f t="shared" si="6"/>
        <v>8881.9967172983634</v>
      </c>
      <c r="F72" s="279">
        <f>F64*F65</f>
        <v>1432</v>
      </c>
      <c r="G72" s="279">
        <f>G64*G65</f>
        <v>10110.576906460952</v>
      </c>
      <c r="H72" s="282">
        <f>SUM(C72:G72)</f>
        <v>33940.334586544792</v>
      </c>
    </row>
    <row r="75" spans="2:13" ht="15">
      <c r="B75" s="441" t="s">
        <v>314</v>
      </c>
      <c r="C75" s="441"/>
      <c r="D75" s="441"/>
      <c r="E75" s="441"/>
      <c r="F75" s="441"/>
      <c r="G75" s="441"/>
      <c r="I75" s="94"/>
      <c r="J75" s="94"/>
      <c r="K75" s="94"/>
      <c r="L75" s="94"/>
      <c r="M75" s="94"/>
    </row>
    <row r="76" spans="2:13" ht="15">
      <c r="B76" s="87"/>
      <c r="C76" s="254" t="s">
        <v>34</v>
      </c>
      <c r="D76" s="254" t="s">
        <v>40</v>
      </c>
      <c r="E76" s="254" t="s">
        <v>42</v>
      </c>
      <c r="F76" s="254" t="s">
        <v>44</v>
      </c>
      <c r="G76" s="254" t="s">
        <v>46</v>
      </c>
      <c r="I76" s="94"/>
      <c r="J76" s="94"/>
      <c r="K76" s="94"/>
      <c r="L76" s="94"/>
      <c r="M76" s="94"/>
    </row>
    <row r="77" spans="2:13" ht="15">
      <c r="B77" s="253" t="s">
        <v>47</v>
      </c>
      <c r="C77" s="283">
        <f>$D$60*C64/$H$72</f>
        <v>599.04695937741519</v>
      </c>
      <c r="D77" s="283">
        <f>$D$60*D64/$H$72</f>
        <v>714.22220202964286</v>
      </c>
      <c r="E77" s="283">
        <f>$D$60*E64/$H$72</f>
        <v>2227.0477721041343</v>
      </c>
      <c r="F77" s="283">
        <f>$D$60*F64/$H$72</f>
        <v>66.946855991708816</v>
      </c>
      <c r="G77" s="283">
        <f>$D$60*G64/$H$72</f>
        <v>283.44695818674126</v>
      </c>
      <c r="H77" s="505" t="s">
        <v>324</v>
      </c>
      <c r="I77" s="412"/>
      <c r="J77" s="94"/>
      <c r="K77" s="94"/>
      <c r="L77" s="94"/>
      <c r="M77" s="94"/>
    </row>
    <row r="78" spans="2:13" ht="15">
      <c r="B78" s="253" t="s">
        <v>48</v>
      </c>
      <c r="C78" s="283">
        <f>$D$60*C66/$H$72</f>
        <v>299.5234796887076</v>
      </c>
      <c r="D78" s="283">
        <f t="shared" ref="D78" si="7">$D$60*D66/$H$72</f>
        <v>357.11110101482143</v>
      </c>
      <c r="E78" s="283">
        <f>$D$60*E66/$H$72</f>
        <v>1113.5238860520672</v>
      </c>
      <c r="F78" s="87"/>
      <c r="G78" s="87"/>
      <c r="H78" s="505"/>
      <c r="I78" s="412"/>
      <c r="J78" s="94"/>
      <c r="K78" s="94"/>
      <c r="L78" s="94"/>
      <c r="M78" s="94"/>
    </row>
    <row r="79" spans="2:13" ht="15">
      <c r="B79" s="253" t="s">
        <v>49</v>
      </c>
      <c r="C79" s="283">
        <f>$D$60*C68/$H$72</f>
        <v>299.5234796887076</v>
      </c>
      <c r="D79" s="283">
        <f t="shared" ref="D79:E79" si="8">$D$60*D68/$H$72</f>
        <v>357.11110101482143</v>
      </c>
      <c r="E79" s="283">
        <f t="shared" si="8"/>
        <v>1113.5238860520672</v>
      </c>
      <c r="F79" s="87"/>
      <c r="G79" s="87"/>
      <c r="H79" s="505"/>
      <c r="I79" s="412"/>
      <c r="J79" s="94"/>
      <c r="K79" s="94"/>
      <c r="L79" s="94"/>
      <c r="M79" s="94"/>
    </row>
  </sheetData>
  <mergeCells count="8">
    <mergeCell ref="H77:I79"/>
    <mergeCell ref="J4:L5"/>
    <mergeCell ref="B44:G44"/>
    <mergeCell ref="B75:G75"/>
    <mergeCell ref="H46:J47"/>
    <mergeCell ref="B62:G62"/>
    <mergeCell ref="F66:G71"/>
    <mergeCell ref="H62:I68"/>
  </mergeCells>
  <phoneticPr fontId="0" type="noConversion"/>
  <hyperlinks>
    <hyperlink ref="C10" r:id="rId1"/>
  </hyperlinks>
  <pageMargins left="0.70866141732283472" right="0.70866141732283472" top="0.51181102362204722" bottom="0.51181102362204722" header="0.51181102362204722" footer="0.35433070866141736"/>
  <pageSetup paperSize="9" scale="63" orientation="portrait" horizontalDpi="4294967292" verticalDpi="4294967292" r:id="rId2"/>
  <headerFooter alignWithMargins="0">
    <oddHeader>&amp;C&amp;F</oddHeader>
    <oddFooter>&amp;L&amp;A :page&amp;P&amp;COfcom&amp;R&amp;D</oddFooter>
  </headerFooter>
  <ignoredErrors>
    <ignoredError sqref="E4 E5:I5 F4:I4 C27:C34 D12 D27:D34 E36:E37 D40:D41" unlockedFormula="1"/>
  </ignoredErrors>
</worksheet>
</file>

<file path=xl/worksheets/sheet8.xml><?xml version="1.0" encoding="utf-8"?>
<worksheet xmlns="http://schemas.openxmlformats.org/spreadsheetml/2006/main" xmlns:r="http://schemas.openxmlformats.org/officeDocument/2006/relationships">
  <sheetPr codeName="Sheet6">
    <pageSetUpPr fitToPage="1"/>
  </sheetPr>
  <dimension ref="A1:Y85"/>
  <sheetViews>
    <sheetView workbookViewId="0">
      <selection activeCell="A2" sqref="A2"/>
    </sheetView>
  </sheetViews>
  <sheetFormatPr defaultRowHeight="12"/>
  <cols>
    <col min="1" max="1" width="15.28515625" customWidth="1"/>
    <col min="2" max="2" width="8.5703125" bestFit="1" customWidth="1"/>
    <col min="3" max="3" width="8.5703125" customWidth="1"/>
    <col min="4" max="4" width="8.42578125" customWidth="1"/>
    <col min="5" max="5" width="8.7109375" customWidth="1"/>
    <col min="6" max="6" width="7.85546875" customWidth="1"/>
    <col min="7" max="7" width="9.28515625" customWidth="1"/>
    <col min="8" max="8" width="9.5703125" customWidth="1"/>
    <col min="9" max="9" width="9.42578125" customWidth="1"/>
    <col min="10" max="10" width="11.140625" customWidth="1"/>
    <col min="11" max="11" width="11.7109375" customWidth="1"/>
    <col min="12" max="12" width="9.85546875" bestFit="1" customWidth="1"/>
    <col min="13" max="15" width="9.140625" customWidth="1"/>
    <col min="17" max="23" width="9.140625" customWidth="1"/>
    <col min="24" max="24" width="11.28515625" customWidth="1"/>
    <col min="25" max="25" width="10.85546875" bestFit="1" customWidth="1"/>
  </cols>
  <sheetData>
    <row r="1" spans="1:25" ht="40.5" customHeight="1">
      <c r="A1" s="5" t="s">
        <v>106</v>
      </c>
      <c r="B1" s="22"/>
      <c r="C1" s="22"/>
      <c r="D1" s="22"/>
      <c r="E1" s="22"/>
      <c r="F1" s="22"/>
      <c r="G1" s="22"/>
      <c r="H1" s="22"/>
      <c r="I1" s="22"/>
      <c r="J1" s="22"/>
      <c r="K1" s="22"/>
      <c r="L1" s="22"/>
      <c r="M1" s="22"/>
      <c r="N1" s="22"/>
      <c r="O1" s="22"/>
      <c r="P1" s="22"/>
      <c r="Q1" s="22"/>
      <c r="R1" s="22"/>
      <c r="S1" s="22"/>
      <c r="T1" s="22"/>
    </row>
    <row r="2" spans="1:25" s="22" customFormat="1" ht="15" customHeight="1">
      <c r="A2" s="37" t="s">
        <v>222</v>
      </c>
    </row>
    <row r="3" spans="1:25" ht="18.75">
      <c r="A3" s="175"/>
      <c r="B3" s="176"/>
      <c r="C3" s="177"/>
      <c r="D3" s="177"/>
      <c r="E3" s="514" t="s">
        <v>87</v>
      </c>
      <c r="F3" s="514" t="s">
        <v>88</v>
      </c>
      <c r="G3" s="515" t="s">
        <v>89</v>
      </c>
      <c r="H3" s="27"/>
      <c r="I3" s="267"/>
      <c r="J3" s="267"/>
      <c r="K3" s="267"/>
      <c r="L3" s="267"/>
      <c r="M3" s="267"/>
      <c r="N3" s="27"/>
      <c r="P3" s="179"/>
      <c r="Q3" s="179"/>
      <c r="R3" s="179"/>
      <c r="S3" s="179"/>
      <c r="T3" s="179"/>
      <c r="U3" s="179"/>
      <c r="V3" s="179"/>
      <c r="W3" s="179"/>
      <c r="X3" s="179"/>
      <c r="Y3" s="179"/>
    </row>
    <row r="4" spans="1:25" ht="15" customHeight="1">
      <c r="A4" s="178"/>
      <c r="B4" s="179"/>
      <c r="C4" s="179"/>
      <c r="D4" s="513" t="s">
        <v>90</v>
      </c>
      <c r="E4" s="513"/>
      <c r="F4" s="513"/>
      <c r="G4" s="516"/>
      <c r="H4" s="27"/>
      <c r="I4" s="326"/>
      <c r="J4" s="326"/>
      <c r="K4" s="326"/>
      <c r="L4" s="326"/>
      <c r="M4" s="326"/>
      <c r="N4" s="27"/>
    </row>
    <row r="5" spans="1:25" ht="15">
      <c r="A5" s="72" t="s">
        <v>34</v>
      </c>
      <c r="B5" s="179" t="s">
        <v>35</v>
      </c>
      <c r="C5" s="180" t="s">
        <v>36</v>
      </c>
      <c r="D5" s="513"/>
      <c r="E5" s="513"/>
      <c r="F5" s="513"/>
      <c r="G5" s="516"/>
      <c r="H5" s="27"/>
      <c r="I5" s="327"/>
      <c r="J5" s="327"/>
      <c r="K5" s="326"/>
      <c r="L5" s="326"/>
      <c r="M5" s="326"/>
      <c r="N5" s="27"/>
    </row>
    <row r="6" spans="1:25">
      <c r="A6" s="178" t="s">
        <v>37</v>
      </c>
      <c r="B6" s="135">
        <f>Inputs!C54</f>
        <v>10000</v>
      </c>
      <c r="C6" s="57">
        <f>Inputs!D54</f>
        <v>1</v>
      </c>
      <c r="D6" s="181">
        <f>Inputs!G54</f>
        <v>10</v>
      </c>
      <c r="E6" s="135">
        <f>Inputs!H54</f>
        <v>2000</v>
      </c>
      <c r="F6" s="57">
        <f>C6/D6</f>
        <v>0.1</v>
      </c>
      <c r="G6" s="182">
        <f>F6*E6</f>
        <v>200</v>
      </c>
      <c r="H6" s="27"/>
      <c r="I6" s="328"/>
      <c r="J6" s="329"/>
      <c r="K6" s="326"/>
      <c r="L6" s="326"/>
      <c r="M6" s="326"/>
      <c r="N6" s="27"/>
    </row>
    <row r="7" spans="1:25">
      <c r="A7" s="178" t="s">
        <v>38</v>
      </c>
      <c r="B7" s="135">
        <f>Inputs!C55</f>
        <v>500</v>
      </c>
      <c r="C7" s="57">
        <f>Inputs!D55</f>
        <v>1</v>
      </c>
      <c r="D7" s="181">
        <f>Inputs!G55</f>
        <v>100</v>
      </c>
      <c r="E7" s="135">
        <f>Inputs!H55</f>
        <v>500</v>
      </c>
      <c r="F7" s="57">
        <f>C7/D7</f>
        <v>0.01</v>
      </c>
      <c r="G7" s="224">
        <f>F7*E7</f>
        <v>5</v>
      </c>
      <c r="H7" s="27"/>
      <c r="I7" s="328"/>
      <c r="J7" s="329"/>
      <c r="K7" s="326"/>
      <c r="L7" s="326"/>
      <c r="M7" s="326"/>
      <c r="N7" s="27"/>
    </row>
    <row r="8" spans="1:25">
      <c r="A8" s="178" t="s">
        <v>39</v>
      </c>
      <c r="B8" s="135">
        <f>Inputs!C56</f>
        <v>500</v>
      </c>
      <c r="C8" s="57">
        <f>Inputs!D56</f>
        <v>2</v>
      </c>
      <c r="D8" s="181">
        <f>Inputs!G56</f>
        <v>100</v>
      </c>
      <c r="E8" s="135">
        <f>Inputs!H56</f>
        <v>500</v>
      </c>
      <c r="F8" s="57">
        <f>C8/D8</f>
        <v>0.02</v>
      </c>
      <c r="G8" s="224">
        <f>F8*E8</f>
        <v>10</v>
      </c>
      <c r="H8" s="27"/>
      <c r="I8" s="328"/>
      <c r="J8" s="329"/>
      <c r="K8" s="330"/>
      <c r="L8" s="326"/>
      <c r="M8" s="326"/>
      <c r="N8" s="27"/>
    </row>
    <row r="9" spans="1:25" ht="15">
      <c r="A9" s="178"/>
      <c r="B9" s="183"/>
      <c r="C9" s="46"/>
      <c r="D9" s="184"/>
      <c r="E9" s="39" t="s">
        <v>77</v>
      </c>
      <c r="F9" s="69">
        <f>SUM(F6:F8)</f>
        <v>0.13</v>
      </c>
      <c r="G9" s="185">
        <f>SUM(G6:G8)</f>
        <v>215</v>
      </c>
      <c r="H9" s="27"/>
      <c r="I9" s="331"/>
      <c r="J9" s="326"/>
      <c r="K9" s="326"/>
      <c r="L9" s="326"/>
      <c r="M9" s="326"/>
      <c r="N9" s="27"/>
    </row>
    <row r="10" spans="1:25" ht="15">
      <c r="A10" s="72" t="s">
        <v>40</v>
      </c>
      <c r="B10" s="186"/>
      <c r="C10" s="43"/>
      <c r="D10" s="43"/>
      <c r="E10" s="43"/>
      <c r="F10" s="187"/>
      <c r="G10" s="170"/>
      <c r="H10" s="27"/>
      <c r="I10" s="331"/>
      <c r="J10" s="326"/>
      <c r="K10" s="326"/>
      <c r="L10" s="326"/>
      <c r="M10" s="326"/>
      <c r="N10" s="27"/>
    </row>
    <row r="11" spans="1:25">
      <c r="A11" s="178" t="s">
        <v>37</v>
      </c>
      <c r="B11" s="135">
        <f>Inputs!C58</f>
        <v>10000</v>
      </c>
      <c r="C11" s="57">
        <f>Inputs!D58</f>
        <v>1</v>
      </c>
      <c r="D11" s="181">
        <f>Inputs!G58</f>
        <v>10</v>
      </c>
      <c r="E11" s="135">
        <f>Inputs!H58</f>
        <v>2000</v>
      </c>
      <c r="F11" s="57">
        <f>C11/D11</f>
        <v>0.1</v>
      </c>
      <c r="G11" s="182">
        <f>F11*E11</f>
        <v>200</v>
      </c>
      <c r="H11" s="27"/>
      <c r="I11" s="328"/>
      <c r="J11" s="329"/>
      <c r="K11" s="326"/>
      <c r="L11" s="326"/>
      <c r="M11" s="326"/>
      <c r="N11" s="27"/>
    </row>
    <row r="12" spans="1:25">
      <c r="A12" s="178" t="s">
        <v>38</v>
      </c>
      <c r="B12" s="135">
        <f>Inputs!C59</f>
        <v>500</v>
      </c>
      <c r="C12" s="57">
        <f>Inputs!D59</f>
        <v>4</v>
      </c>
      <c r="D12" s="181">
        <f>Inputs!G59</f>
        <v>100</v>
      </c>
      <c r="E12" s="135">
        <f>Inputs!H59</f>
        <v>500</v>
      </c>
      <c r="F12" s="57">
        <f>C12/D12</f>
        <v>0.04</v>
      </c>
      <c r="G12" s="182">
        <f>F12*E12</f>
        <v>20</v>
      </c>
      <c r="H12" s="27"/>
      <c r="I12" s="328"/>
      <c r="J12" s="329"/>
      <c r="K12" s="330"/>
      <c r="L12" s="326"/>
      <c r="M12" s="326"/>
      <c r="N12" s="27"/>
    </row>
    <row r="13" spans="1:25">
      <c r="A13" s="178" t="s">
        <v>41</v>
      </c>
      <c r="B13" s="135">
        <f>Inputs!C60</f>
        <v>2000</v>
      </c>
      <c r="C13" s="57">
        <f>Inputs!D60</f>
        <v>2</v>
      </c>
      <c r="D13" s="181">
        <f>Inputs!G60</f>
        <v>50</v>
      </c>
      <c r="E13" s="135">
        <f>Inputs!H60</f>
        <v>2000</v>
      </c>
      <c r="F13" s="57">
        <f>C13/D13</f>
        <v>0.04</v>
      </c>
      <c r="G13" s="182">
        <f>F13*E13</f>
        <v>80</v>
      </c>
      <c r="H13" s="27"/>
      <c r="I13" s="328"/>
      <c r="J13" s="329"/>
      <c r="K13" s="326"/>
      <c r="L13" s="326"/>
      <c r="M13" s="326"/>
      <c r="N13" s="27"/>
    </row>
    <row r="14" spans="1:25" ht="15">
      <c r="A14" s="178"/>
      <c r="B14" s="188"/>
      <c r="C14" s="46"/>
      <c r="D14" s="184"/>
      <c r="E14" s="39" t="s">
        <v>77</v>
      </c>
      <c r="F14" s="69">
        <f>SUM(F11:F13)</f>
        <v>0.18000000000000002</v>
      </c>
      <c r="G14" s="185">
        <f>SUM(G11:G13)</f>
        <v>300</v>
      </c>
      <c r="H14" s="27"/>
      <c r="I14" s="331"/>
      <c r="J14" s="326"/>
      <c r="K14" s="326"/>
      <c r="L14" s="326"/>
      <c r="M14" s="326"/>
      <c r="N14" s="27"/>
    </row>
    <row r="15" spans="1:25" ht="15">
      <c r="A15" s="72" t="s">
        <v>42</v>
      </c>
      <c r="B15" s="186"/>
      <c r="C15" s="43"/>
      <c r="D15" s="43"/>
      <c r="E15" s="43"/>
      <c r="F15" s="187"/>
      <c r="G15" s="170"/>
      <c r="H15" s="27"/>
      <c r="I15" s="331"/>
      <c r="J15" s="326"/>
      <c r="K15" s="326"/>
      <c r="L15" s="326"/>
      <c r="M15" s="326"/>
      <c r="N15" s="27"/>
    </row>
    <row r="16" spans="1:25">
      <c r="A16" s="178" t="s">
        <v>37</v>
      </c>
      <c r="B16" s="135">
        <f>Inputs!C62</f>
        <v>25000</v>
      </c>
      <c r="C16" s="57">
        <f>Inputs!D62</f>
        <v>1</v>
      </c>
      <c r="D16" s="181">
        <f>Inputs!G62</f>
        <v>10</v>
      </c>
      <c r="E16" s="135">
        <f>Inputs!H62</f>
        <v>5000</v>
      </c>
      <c r="F16" s="57">
        <f>C16/D16</f>
        <v>0.1</v>
      </c>
      <c r="G16" s="182">
        <f>F16*E16</f>
        <v>500</v>
      </c>
      <c r="H16" s="27"/>
      <c r="I16" s="328"/>
      <c r="J16" s="329"/>
      <c r="K16" s="326"/>
      <c r="L16" s="326"/>
      <c r="M16" s="326"/>
      <c r="N16" s="27"/>
    </row>
    <row r="17" spans="1:14" ht="12" customHeight="1">
      <c r="A17" s="178" t="s">
        <v>38</v>
      </c>
      <c r="B17" s="135">
        <f>Inputs!C63</f>
        <v>500</v>
      </c>
      <c r="C17" s="57">
        <f>Inputs!D63</f>
        <v>16</v>
      </c>
      <c r="D17" s="181">
        <f>Inputs!G63</f>
        <v>100</v>
      </c>
      <c r="E17" s="135">
        <f>Inputs!H63</f>
        <v>500</v>
      </c>
      <c r="F17" s="57">
        <f>C17/D17</f>
        <v>0.16</v>
      </c>
      <c r="G17" s="182">
        <f>F17*E17</f>
        <v>80</v>
      </c>
      <c r="H17" s="27"/>
      <c r="I17" s="328"/>
      <c r="J17" s="329"/>
      <c r="K17" s="330"/>
      <c r="L17" s="326"/>
      <c r="M17" s="326"/>
      <c r="N17" s="27"/>
    </row>
    <row r="18" spans="1:14">
      <c r="A18" s="178" t="s">
        <v>43</v>
      </c>
      <c r="B18" s="135">
        <f>Inputs!C64</f>
        <v>5000</v>
      </c>
      <c r="C18" s="57">
        <f>Inputs!D64</f>
        <v>2</v>
      </c>
      <c r="D18" s="181">
        <f>Inputs!G64</f>
        <v>25</v>
      </c>
      <c r="E18" s="135">
        <f>Inputs!H64</f>
        <v>5000</v>
      </c>
      <c r="F18" s="57">
        <f>C18/D18</f>
        <v>0.08</v>
      </c>
      <c r="G18" s="182">
        <f>F18*E18</f>
        <v>400</v>
      </c>
      <c r="H18" s="27"/>
      <c r="I18" s="328"/>
      <c r="J18" s="329"/>
      <c r="K18" s="326"/>
      <c r="L18" s="326"/>
      <c r="M18" s="326"/>
      <c r="N18" s="27"/>
    </row>
    <row r="19" spans="1:14" ht="15">
      <c r="A19" s="58"/>
      <c r="B19" s="186"/>
      <c r="C19" s="43"/>
      <c r="D19" s="43"/>
      <c r="E19" s="39" t="s">
        <v>77</v>
      </c>
      <c r="F19" s="69">
        <f>SUM(F16:F18)</f>
        <v>0.34</v>
      </c>
      <c r="G19" s="185">
        <f>SUM(G16:G18)</f>
        <v>980</v>
      </c>
      <c r="H19" s="27"/>
      <c r="I19" s="332"/>
      <c r="J19" s="333"/>
      <c r="K19" s="326"/>
      <c r="L19" s="326"/>
      <c r="M19" s="326"/>
      <c r="N19" s="27"/>
    </row>
    <row r="20" spans="1:14" ht="15">
      <c r="A20" s="72" t="s">
        <v>44</v>
      </c>
      <c r="B20" s="186"/>
      <c r="C20" s="43"/>
      <c r="D20" s="43"/>
      <c r="E20" s="46"/>
      <c r="F20" s="46"/>
      <c r="G20" s="189"/>
      <c r="H20" s="27"/>
      <c r="I20" s="331"/>
      <c r="J20" s="333"/>
      <c r="K20" s="326"/>
      <c r="L20" s="326"/>
      <c r="M20" s="326"/>
      <c r="N20" s="27"/>
    </row>
    <row r="21" spans="1:14">
      <c r="A21" s="58" t="s">
        <v>100</v>
      </c>
      <c r="B21" s="135">
        <f>Inputs!C66</f>
        <v>2000</v>
      </c>
      <c r="C21" s="57">
        <f>Inputs!D66</f>
        <v>1</v>
      </c>
      <c r="D21" s="181">
        <f>Inputs!G66</f>
        <v>50</v>
      </c>
      <c r="E21" s="135">
        <f>Inputs!H66</f>
        <v>2000</v>
      </c>
      <c r="F21" s="57">
        <f>C21/D21</f>
        <v>0.02</v>
      </c>
      <c r="G21" s="182">
        <f>F21*E21</f>
        <v>40</v>
      </c>
      <c r="H21" s="27"/>
      <c r="I21" s="328"/>
      <c r="J21" s="329"/>
      <c r="K21" s="326"/>
      <c r="L21" s="326"/>
      <c r="M21" s="326"/>
      <c r="N21" s="27"/>
    </row>
    <row r="22" spans="1:14" ht="15">
      <c r="A22" s="58"/>
      <c r="B22" s="186"/>
      <c r="C22" s="43"/>
      <c r="D22" s="46"/>
      <c r="E22" s="46"/>
      <c r="F22" s="46"/>
      <c r="G22" s="189"/>
      <c r="H22" s="27"/>
      <c r="I22" s="331"/>
      <c r="J22" s="333"/>
      <c r="K22" s="326"/>
      <c r="L22" s="326"/>
      <c r="M22" s="326"/>
      <c r="N22" s="27"/>
    </row>
    <row r="23" spans="1:14" ht="15">
      <c r="A23" s="72" t="s">
        <v>46</v>
      </c>
      <c r="B23" s="186"/>
      <c r="C23" s="43"/>
      <c r="D23" s="46"/>
      <c r="E23" s="46"/>
      <c r="F23" s="46"/>
      <c r="G23" s="189"/>
      <c r="H23" s="27"/>
      <c r="I23" s="331"/>
      <c r="J23" s="333"/>
      <c r="K23" s="326"/>
      <c r="L23" s="326"/>
      <c r="M23" s="326"/>
      <c r="N23" s="27"/>
    </row>
    <row r="24" spans="1:14">
      <c r="A24" s="58" t="s">
        <v>100</v>
      </c>
      <c r="B24" s="135">
        <f>Inputs!C68</f>
        <v>3000</v>
      </c>
      <c r="C24" s="57">
        <f>Inputs!D68</f>
        <v>1</v>
      </c>
      <c r="D24" s="181">
        <f>Inputs!G68</f>
        <v>20</v>
      </c>
      <c r="E24" s="135">
        <f>Inputs!H68</f>
        <v>3000</v>
      </c>
      <c r="F24" s="57">
        <f>C24/D24</f>
        <v>0.05</v>
      </c>
      <c r="G24" s="182">
        <f>F24*E24</f>
        <v>150</v>
      </c>
      <c r="H24" s="27"/>
      <c r="I24" s="328"/>
      <c r="J24" s="329"/>
      <c r="K24" s="326"/>
      <c r="L24" s="326"/>
      <c r="M24" s="326"/>
      <c r="N24" s="27"/>
    </row>
    <row r="25" spans="1:14">
      <c r="A25" s="58"/>
      <c r="B25" s="43"/>
      <c r="C25" s="43"/>
      <c r="D25" s="43"/>
      <c r="E25" s="43"/>
      <c r="F25" s="43"/>
      <c r="G25" s="62"/>
      <c r="H25" s="27"/>
      <c r="I25" s="327"/>
      <c r="J25" s="329"/>
      <c r="K25" s="326"/>
      <c r="L25" s="326"/>
      <c r="M25" s="326"/>
      <c r="N25" s="27"/>
    </row>
    <row r="26" spans="1:14">
      <c r="A26" s="58"/>
      <c r="B26" s="43"/>
      <c r="C26" s="43"/>
      <c r="D26" s="43"/>
      <c r="E26" s="48" t="s">
        <v>101</v>
      </c>
      <c r="F26" s="181">
        <f>Inputs!D72</f>
        <v>4</v>
      </c>
      <c r="G26" s="62"/>
      <c r="H26" s="27"/>
      <c r="I26" s="326"/>
      <c r="J26" s="326"/>
      <c r="K26" s="326"/>
      <c r="L26" s="326"/>
      <c r="M26" s="326"/>
      <c r="N26" s="27"/>
    </row>
    <row r="27" spans="1:14">
      <c r="A27" s="66"/>
      <c r="B27" s="67"/>
      <c r="C27" s="67"/>
      <c r="D27" s="67"/>
      <c r="E27" s="68" t="s">
        <v>102</v>
      </c>
      <c r="F27" s="190">
        <f>Inputs!D73</f>
        <v>50</v>
      </c>
      <c r="G27" s="71"/>
      <c r="H27" s="27"/>
      <c r="I27" s="326"/>
      <c r="J27" s="326"/>
      <c r="K27" s="326"/>
      <c r="L27" s="334"/>
      <c r="M27" s="335"/>
      <c r="N27" s="27"/>
    </row>
    <row r="28" spans="1:14">
      <c r="A28" s="27"/>
      <c r="B28" s="27"/>
      <c r="C28" s="27"/>
      <c r="D28" s="27"/>
      <c r="E28" s="27"/>
      <c r="F28" s="27"/>
      <c r="G28" s="27"/>
      <c r="H28" s="27"/>
      <c r="I28" s="326"/>
      <c r="J28" s="326"/>
      <c r="K28" s="326"/>
      <c r="L28" s="334"/>
      <c r="M28" s="329"/>
      <c r="N28" s="27"/>
    </row>
    <row r="29" spans="1:14" ht="15.75">
      <c r="A29" s="2" t="s">
        <v>356</v>
      </c>
      <c r="H29" s="27"/>
      <c r="I29" s="326"/>
      <c r="J29" s="326"/>
      <c r="K29" s="326"/>
      <c r="L29" s="334"/>
      <c r="M29" s="336"/>
      <c r="N29" s="27"/>
    </row>
    <row r="30" spans="1:14">
      <c r="A30" s="36" t="s">
        <v>371</v>
      </c>
      <c r="H30" s="27"/>
      <c r="I30" s="334"/>
      <c r="J30" s="334"/>
      <c r="K30" s="334"/>
      <c r="L30" s="334"/>
      <c r="M30" s="327"/>
      <c r="N30" s="27"/>
    </row>
    <row r="31" spans="1:14" ht="15" customHeight="1">
      <c r="A31" s="315" t="s">
        <v>351</v>
      </c>
      <c r="B31" s="323"/>
      <c r="C31" s="324"/>
      <c r="D31" s="324"/>
      <c r="E31" s="324"/>
      <c r="F31" s="324"/>
      <c r="G31" s="324"/>
      <c r="H31" s="324"/>
      <c r="I31" s="324"/>
      <c r="J31" s="324"/>
      <c r="K31" s="344"/>
      <c r="L31" s="334"/>
      <c r="M31" s="337"/>
      <c r="N31" s="27"/>
    </row>
    <row r="32" spans="1:14" ht="60" customHeight="1">
      <c r="A32" s="340" t="s">
        <v>91</v>
      </c>
      <c r="B32" s="313" t="s">
        <v>35</v>
      </c>
      <c r="C32" s="314" t="s">
        <v>352</v>
      </c>
      <c r="D32" s="314" t="s">
        <v>355</v>
      </c>
      <c r="E32" s="314" t="s">
        <v>90</v>
      </c>
      <c r="F32" s="343" t="s">
        <v>353</v>
      </c>
      <c r="G32" s="343" t="s">
        <v>361</v>
      </c>
      <c r="H32" s="343" t="s">
        <v>357</v>
      </c>
      <c r="I32" s="343" t="s">
        <v>362</v>
      </c>
      <c r="J32" s="343" t="s">
        <v>354</v>
      </c>
      <c r="K32" s="343" t="s">
        <v>363</v>
      </c>
      <c r="L32" s="334"/>
      <c r="M32" s="328"/>
      <c r="N32" s="27"/>
    </row>
    <row r="33" spans="1:20" ht="15" customHeight="1">
      <c r="A33" s="340" t="s">
        <v>93</v>
      </c>
      <c r="B33" s="322">
        <f>B6</f>
        <v>10000</v>
      </c>
      <c r="C33" s="341">
        <f>Summary!F78+Summary!F79+2*(Summary!F77+Summary!F80+Summary!F81)</f>
        <v>472</v>
      </c>
      <c r="D33" s="341">
        <f>C33/Inputs!D$77</f>
        <v>11597.051597051597</v>
      </c>
      <c r="E33" s="341">
        <f>D6</f>
        <v>10</v>
      </c>
      <c r="F33" s="341">
        <f>ROUND(D33/E33,0)</f>
        <v>1160</v>
      </c>
      <c r="G33" s="341">
        <f>ROUND((D33-C33)/E33,0)</f>
        <v>1113</v>
      </c>
      <c r="H33" s="342">
        <f t="shared" ref="H33:H40" si="0">F33/52/E$41</f>
        <v>0.53113553113553114</v>
      </c>
      <c r="I33" s="342">
        <f t="shared" ref="I33:I40" si="1">G33/52/E$41</f>
        <v>0.50961538461538458</v>
      </c>
      <c r="J33" s="362">
        <f>H33*E$42+2</f>
        <v>4.1245421245421241</v>
      </c>
      <c r="K33" s="362">
        <f>I33*E$42+2</f>
        <v>4.0384615384615383</v>
      </c>
      <c r="L33" s="531" t="s">
        <v>374</v>
      </c>
      <c r="M33" s="532"/>
      <c r="N33" s="532"/>
      <c r="O33" s="532"/>
      <c r="P33" s="365"/>
      <c r="Q33" s="365"/>
    </row>
    <row r="34" spans="1:20" ht="15">
      <c r="A34" s="340" t="s">
        <v>94</v>
      </c>
      <c r="B34" s="322">
        <f>B11</f>
        <v>10000</v>
      </c>
      <c r="C34" s="341">
        <f>Summary!F83+Summary!F84+2*(Summary!F82+Summary!F85)</f>
        <v>871</v>
      </c>
      <c r="D34" s="341">
        <f>C34/Inputs!D$77</f>
        <v>21400.491400491399</v>
      </c>
      <c r="E34" s="341">
        <f>D11</f>
        <v>10</v>
      </c>
      <c r="F34" s="341">
        <f t="shared" ref="F34:F40" si="2">ROUND(D34/E34,0)</f>
        <v>2140</v>
      </c>
      <c r="G34" s="341">
        <f t="shared" ref="G34:G40" si="3">ROUND((D34-C34)/E34,0)</f>
        <v>2053</v>
      </c>
      <c r="H34" s="342">
        <f t="shared" si="0"/>
        <v>0.97985347985347981</v>
      </c>
      <c r="I34" s="342">
        <f t="shared" si="1"/>
        <v>0.94001831501831512</v>
      </c>
      <c r="J34" s="362">
        <f t="shared" ref="J34:J40" si="4">H34*E$42+2</f>
        <v>5.9194139194139197</v>
      </c>
      <c r="K34" s="362">
        <f t="shared" ref="K34:K40" si="5">I34*E$42+2</f>
        <v>5.7600732600732609</v>
      </c>
      <c r="L34" s="531"/>
      <c r="M34" s="532"/>
      <c r="N34" s="532"/>
      <c r="O34" s="532"/>
      <c r="P34" s="365"/>
      <c r="Q34" s="365"/>
      <c r="T34" s="27"/>
    </row>
    <row r="35" spans="1:20" ht="15">
      <c r="A35" s="340" t="s">
        <v>95</v>
      </c>
      <c r="B35" s="322">
        <f>B16</f>
        <v>25000</v>
      </c>
      <c r="C35" s="341">
        <f>Summary!F87+Summary!F88+2*(Summary!F86+Summary!F89)</f>
        <v>267</v>
      </c>
      <c r="D35" s="341">
        <f>C35/Inputs!D$77</f>
        <v>6560.1965601965603</v>
      </c>
      <c r="E35" s="341">
        <f>D16</f>
        <v>10</v>
      </c>
      <c r="F35" s="341">
        <f t="shared" si="2"/>
        <v>656</v>
      </c>
      <c r="G35" s="341">
        <f t="shared" si="3"/>
        <v>629</v>
      </c>
      <c r="H35" s="342">
        <f t="shared" si="0"/>
        <v>0.30036630036630035</v>
      </c>
      <c r="I35" s="342">
        <f t="shared" si="1"/>
        <v>0.28800366300366304</v>
      </c>
      <c r="J35" s="362">
        <f t="shared" si="4"/>
        <v>3.2014652014652016</v>
      </c>
      <c r="K35" s="362">
        <f t="shared" si="5"/>
        <v>3.1520146520146524</v>
      </c>
      <c r="L35" s="531"/>
      <c r="M35" s="532"/>
      <c r="N35" s="532"/>
      <c r="O35" s="532"/>
      <c r="P35" s="365"/>
      <c r="Q35" s="365"/>
      <c r="R35" s="27"/>
      <c r="S35" s="27"/>
      <c r="T35" s="27"/>
    </row>
    <row r="36" spans="1:20" ht="15">
      <c r="A36" s="340" t="s">
        <v>96</v>
      </c>
      <c r="B36" s="322">
        <f>B7</f>
        <v>500</v>
      </c>
      <c r="C36" s="341">
        <f>C33*(C7+C8)+C34*C12+C35*C17</f>
        <v>9172</v>
      </c>
      <c r="D36" s="341">
        <f>C36/Inputs!D$77</f>
        <v>225356.26535626536</v>
      </c>
      <c r="E36" s="341">
        <f>D7</f>
        <v>100</v>
      </c>
      <c r="F36" s="341">
        <f t="shared" si="2"/>
        <v>2254</v>
      </c>
      <c r="G36" s="341">
        <f t="shared" si="3"/>
        <v>2162</v>
      </c>
      <c r="H36" s="342">
        <f t="shared" si="0"/>
        <v>1.0320512820512822</v>
      </c>
      <c r="I36" s="342">
        <f t="shared" si="1"/>
        <v>0.98992673992673996</v>
      </c>
      <c r="J36" s="362">
        <f t="shared" si="4"/>
        <v>6.1282051282051286</v>
      </c>
      <c r="K36" s="362">
        <f t="shared" si="5"/>
        <v>5.9597069597069599</v>
      </c>
      <c r="L36" s="531"/>
      <c r="M36" s="532"/>
      <c r="N36" s="532"/>
      <c r="O36" s="532"/>
      <c r="P36" s="365"/>
      <c r="Q36" s="365"/>
      <c r="R36" s="27"/>
      <c r="S36" s="27"/>
      <c r="T36" s="27"/>
    </row>
    <row r="37" spans="1:20" ht="15">
      <c r="A37" s="340" t="s">
        <v>97</v>
      </c>
      <c r="B37" s="322">
        <f>B13</f>
        <v>2000</v>
      </c>
      <c r="C37" s="341">
        <f>C34*C13</f>
        <v>1742</v>
      </c>
      <c r="D37" s="341">
        <f>C37/Inputs!D$77</f>
        <v>42800.982800982798</v>
      </c>
      <c r="E37" s="341">
        <f>D13</f>
        <v>50</v>
      </c>
      <c r="F37" s="341">
        <f t="shared" si="2"/>
        <v>856</v>
      </c>
      <c r="G37" s="341">
        <f t="shared" si="3"/>
        <v>821</v>
      </c>
      <c r="H37" s="342">
        <f t="shared" si="0"/>
        <v>0.39194139194139188</v>
      </c>
      <c r="I37" s="342">
        <f t="shared" si="1"/>
        <v>0.37591575091575091</v>
      </c>
      <c r="J37" s="362">
        <f t="shared" si="4"/>
        <v>3.5677655677655675</v>
      </c>
      <c r="K37" s="362">
        <f t="shared" si="5"/>
        <v>3.5036630036630036</v>
      </c>
      <c r="L37" s="531"/>
      <c r="M37" s="532"/>
      <c r="N37" s="532"/>
      <c r="O37" s="532"/>
      <c r="P37" s="365"/>
      <c r="Q37" s="365"/>
      <c r="T37" s="27"/>
    </row>
    <row r="38" spans="1:20" ht="15">
      <c r="A38" s="340" t="s">
        <v>98</v>
      </c>
      <c r="B38" s="322">
        <f>B18</f>
        <v>5000</v>
      </c>
      <c r="C38" s="341">
        <f>C35*C18</f>
        <v>534</v>
      </c>
      <c r="D38" s="341">
        <f>C38/Inputs!D$77</f>
        <v>13120.393120393121</v>
      </c>
      <c r="E38" s="341">
        <f>D18</f>
        <v>25</v>
      </c>
      <c r="F38" s="341">
        <f t="shared" si="2"/>
        <v>525</v>
      </c>
      <c r="G38" s="341">
        <f t="shared" si="3"/>
        <v>503</v>
      </c>
      <c r="H38" s="342">
        <f t="shared" si="0"/>
        <v>0.24038461538461539</v>
      </c>
      <c r="I38" s="342">
        <f t="shared" si="1"/>
        <v>0.23031135531135533</v>
      </c>
      <c r="J38" s="362">
        <f t="shared" si="4"/>
        <v>2.9615384615384617</v>
      </c>
      <c r="K38" s="362">
        <f t="shared" si="5"/>
        <v>2.9212454212454215</v>
      </c>
      <c r="L38" s="531"/>
      <c r="M38" s="532"/>
      <c r="N38" s="532"/>
      <c r="O38" s="532"/>
      <c r="P38" s="365"/>
      <c r="Q38" s="365"/>
      <c r="T38" s="27"/>
    </row>
    <row r="39" spans="1:20" ht="15">
      <c r="A39" s="340" t="s">
        <v>44</v>
      </c>
      <c r="B39" s="322">
        <f>B21</f>
        <v>2000</v>
      </c>
      <c r="C39" s="341">
        <f>2*Summary!F90</f>
        <v>1432</v>
      </c>
      <c r="D39" s="341">
        <f>C39/Inputs!D$78</f>
        <v>40000</v>
      </c>
      <c r="E39" s="341">
        <f>D21</f>
        <v>50</v>
      </c>
      <c r="F39" s="341">
        <f t="shared" si="2"/>
        <v>800</v>
      </c>
      <c r="G39" s="341">
        <f t="shared" si="3"/>
        <v>771</v>
      </c>
      <c r="H39" s="342">
        <f t="shared" si="0"/>
        <v>0.36630036630036633</v>
      </c>
      <c r="I39" s="342">
        <f t="shared" si="1"/>
        <v>0.35302197802197799</v>
      </c>
      <c r="J39" s="362">
        <f t="shared" si="4"/>
        <v>3.4652014652014653</v>
      </c>
      <c r="K39" s="362">
        <f t="shared" si="5"/>
        <v>3.412087912087912</v>
      </c>
      <c r="L39" s="531"/>
      <c r="M39" s="532"/>
      <c r="N39" s="532"/>
      <c r="O39" s="532"/>
      <c r="P39" s="365"/>
      <c r="Q39" s="365"/>
      <c r="T39" s="27"/>
    </row>
    <row r="40" spans="1:20" ht="15">
      <c r="A40" s="340" t="s">
        <v>46</v>
      </c>
      <c r="B40" s="322">
        <f>B24</f>
        <v>3000</v>
      </c>
      <c r="C40" s="341">
        <f>2*Summary!F91</f>
        <v>2388</v>
      </c>
      <c r="D40" s="341">
        <f>C40/Inputs!D$78</f>
        <v>66703.910614525143</v>
      </c>
      <c r="E40" s="341">
        <f>D24</f>
        <v>20</v>
      </c>
      <c r="F40" s="341">
        <f t="shared" si="2"/>
        <v>3335</v>
      </c>
      <c r="G40" s="341">
        <f t="shared" si="3"/>
        <v>3216</v>
      </c>
      <c r="H40" s="342">
        <f t="shared" si="0"/>
        <v>1.5270146520146521</v>
      </c>
      <c r="I40" s="342">
        <f t="shared" si="1"/>
        <v>1.4725274725274726</v>
      </c>
      <c r="J40" s="362">
        <f t="shared" si="4"/>
        <v>8.1080586080586095</v>
      </c>
      <c r="K40" s="362">
        <f t="shared" si="5"/>
        <v>7.8901098901098905</v>
      </c>
      <c r="L40" s="531"/>
      <c r="M40" s="532"/>
      <c r="N40" s="532"/>
      <c r="O40" s="532"/>
      <c r="P40" s="365"/>
      <c r="Q40" s="365"/>
      <c r="T40" s="27"/>
    </row>
    <row r="41" spans="1:20" ht="15">
      <c r="A41" s="47"/>
      <c r="B41" s="43"/>
      <c r="C41" s="43"/>
      <c r="D41" s="48" t="s">
        <v>103</v>
      </c>
      <c r="E41" s="46">
        <f>Inputs!D74</f>
        <v>42</v>
      </c>
      <c r="F41" s="43"/>
      <c r="G41" s="43"/>
      <c r="H41" s="537" t="s">
        <v>358</v>
      </c>
      <c r="I41" s="537"/>
      <c r="J41" s="322">
        <f>SUMPRODUCT(B33:B40,J33:J40)</f>
        <v>236738.09523809524</v>
      </c>
      <c r="K41" s="322">
        <f>SUMPRODUCT(B33:B40,K33:K40)</f>
        <v>231873.62637362641</v>
      </c>
      <c r="L41" s="364"/>
      <c r="M41" s="365"/>
      <c r="N41" s="365"/>
      <c r="O41" s="365"/>
      <c r="P41" s="365"/>
      <c r="Q41" s="365"/>
      <c r="T41" s="27"/>
    </row>
    <row r="42" spans="1:20">
      <c r="A42" s="316"/>
      <c r="B42" s="45"/>
      <c r="C42" s="317"/>
      <c r="D42" s="318" t="s">
        <v>99</v>
      </c>
      <c r="E42" s="104">
        <f>Inputs!D75</f>
        <v>4</v>
      </c>
      <c r="F42" s="317"/>
      <c r="G42" s="317"/>
      <c r="H42" s="538" t="s">
        <v>359</v>
      </c>
      <c r="I42" s="538"/>
      <c r="J42" s="345">
        <f>J41*E41</f>
        <v>9943000</v>
      </c>
      <c r="K42" s="346">
        <f>K41*E41</f>
        <v>9738692.3076923098</v>
      </c>
      <c r="L42" s="364"/>
      <c r="M42" s="365"/>
      <c r="N42" s="365"/>
      <c r="O42" s="365"/>
      <c r="P42" s="365"/>
      <c r="Q42" s="365"/>
      <c r="T42" s="27"/>
    </row>
    <row r="43" spans="1:20">
      <c r="A43" s="27"/>
      <c r="B43" s="27"/>
      <c r="C43" s="27"/>
      <c r="D43" s="27"/>
      <c r="E43" s="27"/>
      <c r="F43" s="27"/>
      <c r="L43" s="326"/>
      <c r="M43" s="326"/>
      <c r="N43" s="27"/>
      <c r="T43" s="27"/>
    </row>
    <row r="44" spans="1:20" ht="12" customHeight="1">
      <c r="A44" s="411" t="s">
        <v>375</v>
      </c>
      <c r="B44" s="411"/>
      <c r="C44" s="411"/>
      <c r="D44" s="411"/>
      <c r="E44" s="325"/>
      <c r="F44" s="522" t="s">
        <v>360</v>
      </c>
      <c r="G44" s="522"/>
      <c r="H44" s="522"/>
      <c r="I44" s="522"/>
      <c r="J44" s="347">
        <f>J42-K42</f>
        <v>204307.69230769016</v>
      </c>
      <c r="K44" s="37" t="s">
        <v>401</v>
      </c>
      <c r="N44" s="27"/>
      <c r="T44" s="27"/>
    </row>
    <row r="45" spans="1:20">
      <c r="A45" s="411"/>
      <c r="B45" s="411"/>
      <c r="C45" s="411"/>
      <c r="D45" s="411"/>
      <c r="E45" s="325"/>
      <c r="F45" s="537" t="s">
        <v>275</v>
      </c>
      <c r="G45" s="537"/>
      <c r="H45" s="537"/>
      <c r="I45" s="537"/>
      <c r="J45" s="367">
        <f>Inputs!D76</f>
        <v>9.2999999999999999E-2</v>
      </c>
      <c r="N45" s="27"/>
      <c r="T45" s="27"/>
    </row>
    <row r="46" spans="1:20">
      <c r="A46" s="411"/>
      <c r="B46" s="411"/>
      <c r="C46" s="411"/>
      <c r="D46" s="411"/>
      <c r="E46" s="325"/>
      <c r="F46" s="527" t="s">
        <v>207</v>
      </c>
      <c r="G46" s="528"/>
      <c r="H46" s="528"/>
      <c r="I46" s="529"/>
      <c r="J46" s="347">
        <f>J44*J45</f>
        <v>19000.615384615183</v>
      </c>
      <c r="N46" s="27"/>
      <c r="T46" s="27"/>
    </row>
    <row r="47" spans="1:20">
      <c r="A47" s="411"/>
      <c r="B47" s="411"/>
      <c r="C47" s="411"/>
      <c r="D47" s="411"/>
      <c r="E47" s="325"/>
      <c r="F47" s="527" t="s">
        <v>330</v>
      </c>
      <c r="G47" s="528"/>
      <c r="H47" s="528"/>
      <c r="I47" s="529"/>
      <c r="J47" s="348">
        <f>Summary!F93</f>
        <v>2974</v>
      </c>
      <c r="K47" s="165"/>
      <c r="L47" s="291"/>
      <c r="N47" s="27"/>
      <c r="T47" s="27"/>
    </row>
    <row r="48" spans="1:20" ht="15">
      <c r="A48" s="411"/>
      <c r="B48" s="411"/>
      <c r="C48" s="411"/>
      <c r="D48" s="411"/>
      <c r="E48" s="27"/>
      <c r="F48" s="530" t="s">
        <v>105</v>
      </c>
      <c r="G48" s="530"/>
      <c r="H48" s="530"/>
      <c r="I48" s="530"/>
      <c r="J48" s="349">
        <f>J46/J47</f>
        <v>6.3889090062593086</v>
      </c>
      <c r="N48" s="27"/>
    </row>
    <row r="49" spans="1:14" ht="12" customHeight="1">
      <c r="A49" s="411"/>
      <c r="B49" s="411"/>
      <c r="C49" s="411"/>
      <c r="D49" s="411"/>
      <c r="N49" s="27"/>
    </row>
    <row r="50" spans="1:14">
      <c r="A50" s="411"/>
      <c r="B50" s="411"/>
      <c r="C50" s="411"/>
      <c r="D50" s="411"/>
      <c r="F50" s="27"/>
      <c r="I50" s="20"/>
      <c r="N50" s="27"/>
    </row>
    <row r="51" spans="1:14">
      <c r="F51" s="27"/>
    </row>
    <row r="52" spans="1:14">
      <c r="A52" s="434" t="s">
        <v>364</v>
      </c>
      <c r="B52" s="535" t="s">
        <v>77</v>
      </c>
      <c r="C52" s="535"/>
      <c r="D52" s="535"/>
      <c r="E52" s="535"/>
      <c r="F52" s="536" t="s">
        <v>365</v>
      </c>
      <c r="G52" s="536"/>
      <c r="H52" s="536"/>
      <c r="I52" s="536"/>
    </row>
    <row r="53" spans="1:14" ht="36" customHeight="1">
      <c r="A53" s="434"/>
      <c r="B53" s="319" t="s">
        <v>366</v>
      </c>
      <c r="C53" s="319" t="s">
        <v>369</v>
      </c>
      <c r="D53" s="319" t="s">
        <v>71</v>
      </c>
      <c r="E53" s="319" t="s">
        <v>76</v>
      </c>
      <c r="F53" s="320" t="s">
        <v>366</v>
      </c>
      <c r="G53" s="320" t="s">
        <v>369</v>
      </c>
      <c r="H53" s="320" t="s">
        <v>71</v>
      </c>
      <c r="I53" s="320" t="s">
        <v>76</v>
      </c>
      <c r="N53" s="350"/>
    </row>
    <row r="54" spans="1:14" ht="15">
      <c r="A54" s="321" t="s">
        <v>34</v>
      </c>
      <c r="B54" s="363">
        <f>J33*E41</f>
        <v>173.23076923076923</v>
      </c>
      <c r="C54" s="322">
        <f>B54*'Operational costs'!C49</f>
        <v>7193.3314707692298</v>
      </c>
      <c r="D54" s="322">
        <f>B54*'Operational costs'!C50</f>
        <v>53878.196592224966</v>
      </c>
      <c r="E54" s="322">
        <f>B54*'Operational costs'!C55</f>
        <v>2151.2767015384616</v>
      </c>
      <c r="F54" s="363">
        <f>K33*E41</f>
        <v>169.61538461538461</v>
      </c>
      <c r="G54" s="322">
        <f>F54*'Operational costs'!C49</f>
        <v>7043.2042153846141</v>
      </c>
      <c r="H54" s="322">
        <f>F54*'Operational costs'!C50</f>
        <v>52753.74044665011</v>
      </c>
      <c r="I54" s="322">
        <f>F54*'Operational costs'!C55</f>
        <v>2106.3788307692307</v>
      </c>
      <c r="J54" s="533" t="s">
        <v>370</v>
      </c>
      <c r="K54" s="534"/>
      <c r="L54" s="534"/>
      <c r="M54" s="534"/>
      <c r="N54" s="350"/>
    </row>
    <row r="55" spans="1:14" ht="15">
      <c r="A55" s="321" t="s">
        <v>40</v>
      </c>
      <c r="B55" s="363">
        <f>J34*E41</f>
        <v>248.61538461538464</v>
      </c>
      <c r="C55" s="322">
        <f>B55*'Operational costs'!D49</f>
        <v>13854.241476923078</v>
      </c>
      <c r="D55" s="322">
        <f>B55*'Operational costs'!D50</f>
        <v>77324.303457402799</v>
      </c>
      <c r="E55" s="322">
        <f>B55*'Operational costs'!D55</f>
        <v>4143.3245538461533</v>
      </c>
      <c r="F55" s="363">
        <f>K34*E41</f>
        <v>241.92307692307696</v>
      </c>
      <c r="G55" s="322">
        <f>F55*'Operational costs'!D49</f>
        <v>13481.308615384618</v>
      </c>
      <c r="H55" s="322">
        <f>F55*'Operational costs'!D50</f>
        <v>75242.863358147224</v>
      </c>
      <c r="I55" s="322">
        <f>F55*'Operational costs'!D55</f>
        <v>4031.7932307692308</v>
      </c>
      <c r="J55" s="533"/>
      <c r="K55" s="534"/>
      <c r="L55" s="534"/>
      <c r="M55" s="534"/>
      <c r="N55" s="350"/>
    </row>
    <row r="56" spans="1:14" ht="15">
      <c r="A56" s="321" t="s">
        <v>42</v>
      </c>
      <c r="B56" s="363">
        <f>J35*E41</f>
        <v>134.46153846153848</v>
      </c>
      <c r="C56" s="322">
        <f>B56*'Operational costs'!E49</f>
        <v>24170.806153846155</v>
      </c>
      <c r="D56" s="322">
        <f>B56*'Operational costs'!E50</f>
        <v>125460.59632754342</v>
      </c>
      <c r="E56" s="322">
        <f>B56*'Operational costs'!E55</f>
        <v>7228.6523076923086</v>
      </c>
      <c r="F56" s="363">
        <f>K35*E41</f>
        <v>132.38461538461539</v>
      </c>
      <c r="G56" s="322">
        <f>F56*'Operational costs'!E49</f>
        <v>23797.458461538459</v>
      </c>
      <c r="H56" s="322">
        <f>F56*'Operational costs'!E50</f>
        <v>123522.70382133994</v>
      </c>
      <c r="I56" s="322">
        <f>F56*'Operational costs'!E55</f>
        <v>7116.9969230769229</v>
      </c>
      <c r="J56" s="533"/>
      <c r="K56" s="534"/>
      <c r="L56" s="534"/>
      <c r="M56" s="534"/>
      <c r="N56" s="350"/>
    </row>
    <row r="57" spans="1:14" s="22" customFormat="1" ht="15">
      <c r="A57" s="339" t="s">
        <v>44</v>
      </c>
      <c r="B57" s="363">
        <f>J39*E41</f>
        <v>145.53846153846155</v>
      </c>
      <c r="C57" s="322">
        <f>B57*'Operational costs'!F49</f>
        <v>725.21046941538464</v>
      </c>
      <c r="D57" s="322">
        <f>B57*'Operational costs'!F50</f>
        <v>5431.8409210918107</v>
      </c>
      <c r="E57" s="322">
        <f>B57*'Operational costs'!F55</f>
        <v>216.88537403076927</v>
      </c>
      <c r="F57" s="363">
        <f>K39*E41</f>
        <v>143.30769230769229</v>
      </c>
      <c r="G57" s="322">
        <f>F57*'Operational costs'!F49</f>
        <v>714.09466412307688</v>
      </c>
      <c r="H57" s="322">
        <f>F57*'Operational costs'!F50</f>
        <v>5348.5833171215863</v>
      </c>
      <c r="I57" s="322">
        <f>F57*'Operational costs'!F55</f>
        <v>213.56102104615383</v>
      </c>
      <c r="J57" s="533"/>
      <c r="K57" s="534"/>
      <c r="L57" s="534"/>
      <c r="M57" s="534"/>
    </row>
    <row r="58" spans="1:14" s="22" customFormat="1" ht="15">
      <c r="A58" s="339" t="s">
        <v>46</v>
      </c>
      <c r="B58" s="363">
        <f>J40*E41</f>
        <v>340.5384615384616</v>
      </c>
      <c r="C58" s="322">
        <f>B58*'Operational costs'!G49</f>
        <v>8484.4258670769232</v>
      </c>
      <c r="D58" s="322">
        <f>B58*'Operational costs'!G50</f>
        <v>63548.519444168734</v>
      </c>
      <c r="E58" s="322">
        <f>B58*'Operational costs'!G55</f>
        <v>2537.3983901538468</v>
      </c>
      <c r="F58" s="363">
        <f>K40*E41</f>
        <v>331.38461538461542</v>
      </c>
      <c r="G58" s="322">
        <f>F58*'Operational costs'!G49</f>
        <v>8256.36020676923</v>
      </c>
      <c r="H58" s="322">
        <f>F58*'Operational costs'!G50</f>
        <v>61840.303086848631</v>
      </c>
      <c r="I58" s="322">
        <f>F58*'Operational costs'!G55</f>
        <v>2469.1918375384616</v>
      </c>
    </row>
    <row r="59" spans="1:14" ht="15">
      <c r="A59" s="20"/>
      <c r="B59" s="20"/>
      <c r="C59" s="20"/>
      <c r="D59" s="20"/>
      <c r="E59" s="338">
        <f>SUM(C54:E58)</f>
        <v>396349.00950772403</v>
      </c>
      <c r="F59" s="43"/>
      <c r="G59" s="20"/>
      <c r="H59" s="20"/>
      <c r="I59" s="338">
        <f>SUM(G54:I58)</f>
        <v>387938.54203650751</v>
      </c>
    </row>
    <row r="60" spans="1:14">
      <c r="F60" s="27"/>
    </row>
    <row r="61" spans="1:14">
      <c r="A61" s="522" t="s">
        <v>367</v>
      </c>
      <c r="B61" s="522"/>
      <c r="C61" s="522"/>
      <c r="D61" s="522"/>
      <c r="E61" s="351">
        <f>E59-I59</f>
        <v>8410.4674712165142</v>
      </c>
      <c r="F61" s="27"/>
    </row>
    <row r="62" spans="1:14">
      <c r="A62" s="523" t="s">
        <v>368</v>
      </c>
      <c r="B62" s="523"/>
      <c r="C62" s="523"/>
      <c r="D62" s="523"/>
      <c r="E62" s="352">
        <f>E61/J47</f>
        <v>2.827998477207974</v>
      </c>
      <c r="F62" s="27"/>
    </row>
    <row r="64" spans="1:14" ht="15">
      <c r="A64" s="524" t="s">
        <v>136</v>
      </c>
      <c r="B64" s="525"/>
      <c r="C64" s="525"/>
      <c r="D64" s="525"/>
      <c r="E64" s="526"/>
    </row>
    <row r="65" spans="1:5">
      <c r="A65" s="47"/>
      <c r="B65" s="353"/>
      <c r="C65" s="43"/>
      <c r="D65" s="48" t="s">
        <v>137</v>
      </c>
      <c r="E65" s="103">
        <f>Inputs!D82</f>
        <v>1</v>
      </c>
    </row>
    <row r="66" spans="1:5">
      <c r="A66" s="47"/>
      <c r="B66" s="354"/>
      <c r="C66" s="43"/>
      <c r="D66" s="48" t="s">
        <v>138</v>
      </c>
      <c r="E66" s="256">
        <f>Inputs!E7</f>
        <v>980</v>
      </c>
    </row>
    <row r="67" spans="1:5">
      <c r="A67" s="47"/>
      <c r="B67" s="43"/>
      <c r="C67" s="43"/>
      <c r="D67" s="48" t="s">
        <v>329</v>
      </c>
      <c r="E67" s="355">
        <f>(100000/E66)/E65</f>
        <v>102.04081632653062</v>
      </c>
    </row>
    <row r="68" spans="1:5">
      <c r="A68" s="47"/>
      <c r="B68" s="43"/>
      <c r="C68" s="43"/>
      <c r="D68" s="43"/>
      <c r="E68" s="44"/>
    </row>
    <row r="69" spans="1:5">
      <c r="A69" s="47"/>
      <c r="B69" s="43"/>
      <c r="C69" s="43"/>
      <c r="D69" s="48" t="s">
        <v>139</v>
      </c>
      <c r="E69" s="103">
        <f>Inputs!D83</f>
        <v>4</v>
      </c>
    </row>
    <row r="70" spans="1:5">
      <c r="A70" s="47"/>
      <c r="B70" s="43"/>
      <c r="C70" s="43"/>
      <c r="D70" s="48" t="s">
        <v>140</v>
      </c>
      <c r="E70" s="103">
        <f>Inputs!D84</f>
        <v>7</v>
      </c>
    </row>
    <row r="71" spans="1:5">
      <c r="A71" s="47"/>
      <c r="B71" s="354"/>
      <c r="C71" s="43"/>
      <c r="D71" s="48" t="s">
        <v>141</v>
      </c>
      <c r="E71" s="356">
        <f>Inputs!D85</f>
        <v>50</v>
      </c>
    </row>
    <row r="72" spans="1:5">
      <c r="A72" s="47"/>
      <c r="B72" s="43"/>
      <c r="C72" s="43"/>
      <c r="D72" s="43"/>
      <c r="E72" s="357"/>
    </row>
    <row r="73" spans="1:5" ht="15">
      <c r="A73" s="47"/>
      <c r="B73" s="43"/>
      <c r="C73" s="43"/>
      <c r="D73" s="48" t="s">
        <v>328</v>
      </c>
      <c r="E73" s="358">
        <f>E69*E70*E71/E67</f>
        <v>13.719999999999999</v>
      </c>
    </row>
    <row r="74" spans="1:5">
      <c r="A74" s="47"/>
      <c r="B74" s="43"/>
      <c r="C74" s="43"/>
      <c r="D74" s="43"/>
      <c r="E74" s="44"/>
    </row>
    <row r="75" spans="1:5">
      <c r="A75" s="47"/>
      <c r="B75" s="43"/>
      <c r="C75" s="43"/>
      <c r="D75" s="48" t="s">
        <v>327</v>
      </c>
      <c r="E75" s="256">
        <f>Inputs!E6</f>
        <v>240</v>
      </c>
    </row>
    <row r="76" spans="1:5">
      <c r="A76" s="47"/>
      <c r="B76" s="43"/>
      <c r="C76" s="43"/>
      <c r="D76" s="48" t="s">
        <v>326</v>
      </c>
      <c r="E76" s="256">
        <f>'Duct and fibre costs'!D7</f>
        <v>4</v>
      </c>
    </row>
    <row r="77" spans="1:5">
      <c r="A77" s="47"/>
      <c r="B77" s="43"/>
      <c r="C77" s="43"/>
      <c r="D77" s="43"/>
      <c r="E77" s="44"/>
    </row>
    <row r="78" spans="1:5" ht="15">
      <c r="A78" s="520" t="s">
        <v>325</v>
      </c>
      <c r="B78" s="521"/>
      <c r="C78" s="521"/>
      <c r="D78" s="521"/>
      <c r="E78" s="359">
        <f>E73/E75*E76</f>
        <v>0.22866666666666666</v>
      </c>
    </row>
    <row r="81" spans="2:8" ht="12.75">
      <c r="B81" s="517" t="s">
        <v>258</v>
      </c>
      <c r="C81" s="518"/>
      <c r="D81" s="518"/>
      <c r="E81" s="518"/>
      <c r="F81" s="518"/>
      <c r="G81" s="519"/>
    </row>
    <row r="82" spans="2:8" ht="15">
      <c r="B82" s="74"/>
      <c r="C82" s="75" t="s">
        <v>34</v>
      </c>
      <c r="D82" s="75" t="s">
        <v>40</v>
      </c>
      <c r="E82" s="75" t="s">
        <v>42</v>
      </c>
      <c r="F82" s="76" t="s">
        <v>44</v>
      </c>
      <c r="G82" s="76" t="s">
        <v>46</v>
      </c>
    </row>
    <row r="83" spans="2:8" ht="15">
      <c r="B83" s="35" t="s">
        <v>47</v>
      </c>
      <c r="C83" s="136">
        <f>2*(G9+F9*F26*F27+J48+E62)+E78</f>
        <v>500.6624816336012</v>
      </c>
      <c r="D83" s="136">
        <f>2*(G14+F14*F26*F27+J48+E62)+E78</f>
        <v>690.66248163360126</v>
      </c>
      <c r="E83" s="136">
        <f>2*(G19+F19*F26*F27+J48+E62)+E78</f>
        <v>2114.6624816336016</v>
      </c>
      <c r="F83" s="136">
        <f>2*(G21+F21*F26*F27+J48+E62)+E78</f>
        <v>106.66248163360125</v>
      </c>
      <c r="G83" s="136">
        <f>2*(G24+F24*F26*F27+J48+E62)+E78</f>
        <v>338.6624816336012</v>
      </c>
      <c r="H83" s="37" t="s">
        <v>263</v>
      </c>
    </row>
    <row r="84" spans="2:8" ht="15">
      <c r="B84" s="35" t="s">
        <v>48</v>
      </c>
      <c r="C84" s="136">
        <f>G9+F9*F26*F27+J48+E62+E78</f>
        <v>250.44557415013395</v>
      </c>
      <c r="D84" s="136">
        <f>G14+F14*F26*F27+J48+E62+E78</f>
        <v>345.44557415013395</v>
      </c>
      <c r="E84" s="136">
        <f>G19+F19*F26*F27+J48+E62+E78</f>
        <v>1057.445574150134</v>
      </c>
      <c r="F84" s="27"/>
      <c r="G84" s="27"/>
      <c r="H84" s="37" t="s">
        <v>264</v>
      </c>
    </row>
    <row r="85" spans="2:8" ht="15">
      <c r="B85" s="35" t="s">
        <v>49</v>
      </c>
      <c r="C85" s="136">
        <f>G9+F9*F26*F27+J48+E62</f>
        <v>250.21690748346728</v>
      </c>
      <c r="D85" s="136">
        <f>G14+F14*F26*F27+J48+E62</f>
        <v>345.21690748346731</v>
      </c>
      <c r="E85" s="136">
        <f>G19+F19*F26*F27+J48+E62</f>
        <v>1057.2169074834674</v>
      </c>
      <c r="F85" s="27"/>
      <c r="G85" s="27"/>
      <c r="H85" s="37" t="s">
        <v>265</v>
      </c>
    </row>
  </sheetData>
  <mergeCells count="22">
    <mergeCell ref="L33:O40"/>
    <mergeCell ref="J54:M57"/>
    <mergeCell ref="B52:E52"/>
    <mergeCell ref="F52:I52"/>
    <mergeCell ref="H41:I41"/>
    <mergeCell ref="H42:I42"/>
    <mergeCell ref="F44:I44"/>
    <mergeCell ref="F45:I45"/>
    <mergeCell ref="F46:I46"/>
    <mergeCell ref="D4:D5"/>
    <mergeCell ref="E3:E5"/>
    <mergeCell ref="F3:F5"/>
    <mergeCell ref="G3:G5"/>
    <mergeCell ref="B81:G81"/>
    <mergeCell ref="A78:D78"/>
    <mergeCell ref="A52:A53"/>
    <mergeCell ref="A61:D61"/>
    <mergeCell ref="A62:D62"/>
    <mergeCell ref="A64:E64"/>
    <mergeCell ref="F47:I47"/>
    <mergeCell ref="F48:I48"/>
    <mergeCell ref="A44:D50"/>
  </mergeCells>
  <pageMargins left="0.70866141732283472" right="0.70866141732283472" top="0.74803149606299213" bottom="0.74803149606299213" header="0.31496062992125984" footer="0.31496062992125984"/>
  <pageSetup paperSize="9" scale="61" orientation="portrait" verticalDpi="200" r:id="rId1"/>
  <headerFooter>
    <oddHeader>&amp;C&amp;F</oddHeader>
    <oddFooter>&amp;L&amp;A: page &amp;P&amp;COfcom&amp;R&amp;D</oddFooter>
  </headerFooter>
  <ignoredErrors>
    <ignoredError sqref="D6:D8 D11:D13 D16:D18 E16:E18 E11:E13 E6:E8 D21:E21 D24:E24 F26:F27 J42 E42 E65 E69:E71" unlockedFormula="1"/>
  </ignoredErrors>
</worksheet>
</file>

<file path=xl/worksheets/sheet9.xml><?xml version="1.0" encoding="utf-8"?>
<worksheet xmlns="http://schemas.openxmlformats.org/spreadsheetml/2006/main" xmlns:r="http://schemas.openxmlformats.org/officeDocument/2006/relationships">
  <sheetPr codeName="Sheet7"/>
  <dimension ref="A1:P29"/>
  <sheetViews>
    <sheetView workbookViewId="0">
      <selection activeCell="A2" sqref="A2"/>
    </sheetView>
  </sheetViews>
  <sheetFormatPr defaultRowHeight="12"/>
  <cols>
    <col min="4" max="4" width="9.5703125" bestFit="1" customWidth="1"/>
    <col min="6" max="6" width="10" bestFit="1" customWidth="1"/>
  </cols>
  <sheetData>
    <row r="1" spans="1:10" ht="40.5" customHeight="1">
      <c r="A1" s="191" t="s">
        <v>124</v>
      </c>
      <c r="B1" s="27"/>
      <c r="C1" s="27"/>
      <c r="D1" s="27"/>
      <c r="E1" s="27"/>
      <c r="F1" s="27"/>
      <c r="G1" s="27"/>
      <c r="H1" s="27"/>
      <c r="I1" s="27"/>
      <c r="J1" s="27"/>
    </row>
    <row r="2" spans="1:10" ht="15">
      <c r="A2" s="36" t="s">
        <v>223</v>
      </c>
      <c r="B2" s="27"/>
      <c r="C2" s="27"/>
      <c r="D2" s="27"/>
      <c r="E2" s="27"/>
      <c r="F2" s="29"/>
      <c r="G2" s="27"/>
      <c r="H2" s="27"/>
      <c r="I2" s="27"/>
      <c r="J2" s="27"/>
    </row>
    <row r="3" spans="1:10" ht="15">
      <c r="A3" s="27"/>
      <c r="B3" s="38" t="s">
        <v>123</v>
      </c>
      <c r="C3" s="27"/>
      <c r="D3" s="29"/>
      <c r="G3" s="27"/>
      <c r="H3" s="27"/>
      <c r="I3" s="27"/>
      <c r="J3" s="27"/>
    </row>
    <row r="4" spans="1:10">
      <c r="A4" s="27"/>
      <c r="B4" s="27"/>
      <c r="C4" s="34" t="s">
        <v>125</v>
      </c>
      <c r="D4" s="95">
        <f>Inputs!D89</f>
        <v>3</v>
      </c>
      <c r="G4" s="27"/>
      <c r="H4" s="27"/>
      <c r="I4" s="27"/>
      <c r="J4" s="27"/>
    </row>
    <row r="5" spans="1:10">
      <c r="A5" s="27"/>
      <c r="B5" s="27"/>
      <c r="C5" s="34" t="s">
        <v>126</v>
      </c>
      <c r="D5" s="137">
        <f>Inputs!D90</f>
        <v>100000</v>
      </c>
      <c r="G5" s="27"/>
      <c r="H5" s="27"/>
      <c r="I5" s="27"/>
      <c r="J5" s="27"/>
    </row>
    <row r="6" spans="1:10">
      <c r="A6" s="27"/>
      <c r="B6" s="27"/>
      <c r="C6" s="48" t="s">
        <v>104</v>
      </c>
      <c r="D6" s="114">
        <f>Summary!F93</f>
        <v>2974</v>
      </c>
      <c r="G6" s="27"/>
      <c r="H6" s="27"/>
      <c r="I6" s="27"/>
      <c r="J6" s="27"/>
    </row>
    <row r="7" spans="1:10" ht="15">
      <c r="A7" s="27"/>
      <c r="B7" s="27"/>
      <c r="C7" s="77" t="s">
        <v>259</v>
      </c>
      <c r="D7" s="138">
        <f>D4*D5/D6</f>
        <v>100.87424344317418</v>
      </c>
      <c r="G7" s="27"/>
      <c r="H7" s="27"/>
      <c r="I7" s="27"/>
      <c r="J7" s="27"/>
    </row>
    <row r="8" spans="1:10" ht="15">
      <c r="A8" s="27"/>
      <c r="B8" s="27"/>
      <c r="C8" s="27"/>
      <c r="D8" s="27"/>
      <c r="E8" s="29"/>
      <c r="F8" s="27"/>
      <c r="G8" s="27"/>
      <c r="H8" s="27"/>
      <c r="I8" s="27"/>
      <c r="J8" s="27"/>
    </row>
    <row r="9" spans="1:10" s="94" customFormat="1"/>
    <row r="10" spans="1:10" s="94" customFormat="1"/>
    <row r="11" spans="1:10" s="94" customFormat="1"/>
    <row r="12" spans="1:10" s="94" customFormat="1"/>
    <row r="13" spans="1:10" s="94" customFormat="1"/>
    <row r="14" spans="1:10" s="94" customFormat="1"/>
    <row r="15" spans="1:10" s="94" customFormat="1"/>
    <row r="16" spans="1:10" s="94" customFormat="1"/>
    <row r="17" spans="13:16" s="94" customFormat="1"/>
    <row r="18" spans="13:16">
      <c r="M18" s="22"/>
      <c r="N18" s="22"/>
      <c r="O18" s="22"/>
      <c r="P18" s="22"/>
    </row>
    <row r="19" spans="13:16">
      <c r="M19" s="22"/>
      <c r="N19" s="22"/>
      <c r="O19" s="22"/>
      <c r="P19" s="22"/>
    </row>
    <row r="21" spans="13:16">
      <c r="M21" s="22"/>
      <c r="N21" s="22"/>
      <c r="O21" s="22"/>
      <c r="P21" s="22"/>
    </row>
    <row r="23" spans="13:16">
      <c r="O23" s="22"/>
      <c r="P23" s="22"/>
    </row>
    <row r="24" spans="13:16">
      <c r="O24" s="22"/>
      <c r="P24" s="22"/>
    </row>
    <row r="25" spans="13:16">
      <c r="M25" s="22"/>
      <c r="N25" s="22"/>
      <c r="O25" s="22"/>
      <c r="P25" s="22"/>
    </row>
    <row r="26" spans="13:16">
      <c r="M26" s="22"/>
      <c r="N26" s="22"/>
      <c r="O26" s="22"/>
      <c r="P26" s="22"/>
    </row>
    <row r="27" spans="13:16">
      <c r="M27" s="22"/>
      <c r="N27" s="22"/>
      <c r="O27" s="22"/>
      <c r="P27" s="22"/>
    </row>
    <row r="28" spans="13:16">
      <c r="M28" s="22"/>
      <c r="N28" s="22"/>
      <c r="O28" s="22"/>
      <c r="P28" s="22"/>
    </row>
    <row r="29" spans="13:16">
      <c r="M29" s="22"/>
      <c r="N29" s="22"/>
      <c r="O29" s="22"/>
      <c r="P29" s="22"/>
    </row>
  </sheetData>
  <pageMargins left="0.70866141732283472" right="0.70866141732283472" top="0.74803149606299213" bottom="0.74803149606299213" header="0.31496062992125984" footer="0.31496062992125984"/>
  <pageSetup paperSize="9" orientation="portrait" verticalDpi="0" r:id="rId1"/>
  <headerFooter>
    <oddHeader>&amp;C&amp;F</oddHeader>
    <oddFooter>&amp;L&amp;A: page &amp;P&amp;COfcom&amp;R&amp;D</oddFooter>
  </headerFooter>
  <ignoredErrors>
    <ignoredError sqref="D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_x0020_status xmlns="d2501750-1270-4bef-9a5a-96056f4a148e">final</Doc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Deliverable" ma:contentTypeID="0x0101005F659AD3A7A29045941E18D2F400AB8C008AEB4B20B6AFB241AECC7E39D4C72590" ma:contentTypeVersion="1" ma:contentTypeDescription="statement, directive or other end result of a project&#10;" ma:contentTypeScope="" ma:versionID="a560fc547072fae15d1cd3b8554531ad">
  <xsd:schema xmlns:xsd="http://www.w3.org/2001/XMLSchema" xmlns:p="http://schemas.microsoft.com/office/2006/metadata/properties" xmlns:ns3="d2501750-1270-4bef-9a5a-96056f4a148e" targetNamespace="http://schemas.microsoft.com/office/2006/metadata/properties" ma:root="true" ma:fieldsID="7e500ec1e2a10fbcab2bb039f8dc5c43" ns3:_="">
    <xsd:import namespace="d2501750-1270-4bef-9a5a-96056f4a148e"/>
    <xsd:element name="properties">
      <xsd:complexType>
        <xsd:sequence>
          <xsd:element name="documentManagement">
            <xsd:complexType>
              <xsd:all>
                <xsd:element ref="ns3:Doc_x0020_status" minOccurs="0"/>
              </xsd:all>
            </xsd:complexType>
          </xsd:element>
        </xsd:sequence>
      </xsd:complexType>
    </xsd:element>
  </xsd:schema>
  <xsd:schema xmlns:xsd="http://www.w3.org/2001/XMLSchema" xmlns:dms="http://schemas.microsoft.com/office/2006/documentManagement/types" targetNamespace="d2501750-1270-4bef-9a5a-96056f4a148e" elementFormDefault="qualified">
    <xsd:import namespace="http://schemas.microsoft.com/office/2006/documentManagement/types"/>
    <xsd:element name="Doc_x0020_status" ma:index="9" nillable="true" ma:displayName="Doc status" ma:format="Dropdown" ma:internalName="Doc_x0020_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D2DC0CC-DB45-4A90-8DBF-355B913D0AA7}">
  <ds:schemaRefs>
    <ds:schemaRef ds:uri="http://schemas.microsoft.com/sharepoint/v3/contenttype/forms"/>
  </ds:schemaRefs>
</ds:datastoreItem>
</file>

<file path=customXml/itemProps2.xml><?xml version="1.0" encoding="utf-8"?>
<ds:datastoreItem xmlns:ds="http://schemas.openxmlformats.org/officeDocument/2006/customXml" ds:itemID="{D075C26C-ABEF-4935-8EDD-BA8EBC678DA5}">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d2501750-1270-4bef-9a5a-96056f4a148e"/>
    <ds:schemaRef ds:uri="http://schemas.openxmlformats.org/package/2006/metadata/core-properties"/>
  </ds:schemaRefs>
</ds:datastoreItem>
</file>

<file path=customXml/itemProps3.xml><?xml version="1.0" encoding="utf-8"?>
<ds:datastoreItem xmlns:ds="http://schemas.openxmlformats.org/officeDocument/2006/customXml" ds:itemID="{F836F0E8-ED8F-4D97-9099-1147A8D02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501750-1270-4bef-9a5a-96056f4a148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Contents</vt:lpstr>
      <vt:lpstr>Quality Assurance</vt:lpstr>
      <vt:lpstr>Inputs</vt:lpstr>
      <vt:lpstr>Outputs</vt:lpstr>
      <vt:lpstr>Summary</vt:lpstr>
      <vt:lpstr>Duct and fibre costs</vt:lpstr>
      <vt:lpstr>Operational costs</vt:lpstr>
      <vt:lpstr>Maintenance costs</vt:lpstr>
      <vt:lpstr>Support costs</vt:lpstr>
      <vt:lpstr>Contents!Print_Area</vt:lpstr>
      <vt:lpstr>'Duct and fibre costs'!Print_Area</vt:lpstr>
      <vt:lpstr>Inputs!Print_Area</vt:lpstr>
      <vt:lpstr>'Maintenance costs'!Print_Area</vt:lpstr>
      <vt:lpstr>'Operational costs'!Print_Area</vt:lpstr>
      <vt:lpstr>Outputs!Print_Area</vt:lpstr>
      <vt:lpstr>Summary!Print_Area</vt:lpstr>
      <vt:lpstr>'Support costs'!Print_Area</vt:lpstr>
    </vt:vector>
  </TitlesOfParts>
  <Company>Analysys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Antony Thorley</dc:creator>
  <cp:lastModifiedBy>antony.thorley</cp:lastModifiedBy>
  <cp:lastPrinted>2011-01-25T13:00:56Z</cp:lastPrinted>
  <dcterms:created xsi:type="dcterms:W3CDTF">1997-01-23T15:12:23Z</dcterms:created>
  <dcterms:modified xsi:type="dcterms:W3CDTF">2011-01-25T16:19:28Z</dcterms:modified>
  <cp:contentType>Deliverable</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0x0101005F659AD3A7A29045941E18D2F400AB8C008AEB4B20B6AFB241AECC7E39D4C72590</vt:lpwstr>
  </property>
  <property fmtid="{D5CDD505-2E9C-101B-9397-08002B2CF9AE}" pid="3" name="Order">
    <vt:r8>200</vt:r8>
  </property>
  <property fmtid="{D5CDD505-2E9C-101B-9397-08002B2CF9AE}" pid="4" name="Doc status">
    <vt:lpwstr>draft</vt:lpwstr>
  </property>
</Properties>
</file>