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4BAB7AD-144B-4182-BE61-5E73F1F4B1D9}" xr6:coauthVersionLast="47" xr6:coauthVersionMax="47" xr10:uidLastSave="{00000000-0000-0000-0000-000000000000}"/>
  <bookViews>
    <workbookView xWindow="5010" yWindow="-13920" windowWidth="21600" windowHeight="11175" tabRatio="729" xr2:uid="{33C3CDE3-72EF-42E9-8456-705A41ACB3B3}"/>
  </bookViews>
  <sheets>
    <sheet name="Contents" sheetId="108" r:id="rId1"/>
    <sheet name="Style Guidelines" sheetId="107" r:id="rId2"/>
    <sheet name="Model Map" sheetId="103" r:id="rId3"/>
    <sheet name="Inputs -&gt;" sheetId="46" r:id="rId4"/>
    <sheet name="Input data" sheetId="94" r:id="rId5"/>
    <sheet name="Parameters and Assumptions" sheetId="53" r:id="rId6"/>
    <sheet name="Calculations -&gt;" sheetId="49" r:id="rId7"/>
    <sheet name="Network Adjs" sheetId="57" r:id="rId8"/>
    <sheet name="Duct and Chambers&gt;&gt;&gt;" sheetId="100" r:id="rId9"/>
    <sheet name="D&amp;C Vols" sheetId="59" r:id="rId10"/>
    <sheet name="LDD forecasts" sheetId="65" r:id="rId11"/>
    <sheet name="D&amp;C Cost Forecasts" sheetId="69" r:id="rId12"/>
    <sheet name="D&amp;C Forecast UCs, Charges &amp; Xs" sheetId="70" r:id="rId13"/>
    <sheet name="Poles&gt;&gt;&gt;" sheetId="101" r:id="rId14"/>
    <sheet name="Pole volume forecasts" sheetId="81" r:id="rId15"/>
    <sheet name="Poles main COW Forecasts" sheetId="82" r:id="rId16"/>
    <sheet name="Poles costs forecasts" sheetId="83" r:id="rId17"/>
    <sheet name="Poles Fcast UCs, Charges &amp; Xs" sheetId="84" r:id="rId18"/>
    <sheet name="Outputs -&gt;" sheetId="102" r:id="rId19"/>
    <sheet name="Model outputs" sheetId="91" r:id="rId20"/>
  </sheets>
  <definedNames>
    <definedName name="asset_inflation">'Parameters and Assumptions'!$D$36:$L$36</definedName>
    <definedName name="CPI">'Parameters and Assumptions'!$D$39:$L$39</definedName>
    <definedName name="duct_asset_life">'Parameters and Assumptions'!$D$43</definedName>
    <definedName name="Leadin_discount">'Parameters and Assumptions'!$D$12:$L$12</definedName>
    <definedName name="Manifold_uplift_ratio">'Parameters and Assumptions'!$D$28</definedName>
    <definedName name="Million">'Parameters and Assumptions'!$D$6</definedName>
    <definedName name="months_in_year">12</definedName>
    <definedName name="Opex_CVE">'Parameters and Assumptions'!$D$9</definedName>
    <definedName name="Opex_eff">'Parameters and Assumptions'!$D$10</definedName>
    <definedName name="opex_inflation">'Parameters and Assumptions'!$D$38:$L$38</definedName>
    <definedName name="pole_asset_life">'Parameters and Assumptions'!$D$44</definedName>
    <definedName name="RPI">'Parameters and Assumptions'!$D$36:$J$36</definedName>
    <definedName name="Thousand">'Parameters and Assumptions'!$D$7</definedName>
    <definedName name="Workbook.Objective">Contents!$B$6</definedName>
    <definedName name="Workbook.Title">Contents!$B$5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7" i="65" l="1"/>
  <c r="H7" i="57"/>
  <c r="I7" i="57"/>
  <c r="J7" i="57"/>
  <c r="K7" i="57"/>
  <c r="L7" i="57"/>
  <c r="M7" i="57"/>
  <c r="G7" i="57"/>
  <c r="E52" i="53"/>
  <c r="E55" i="53" s="1"/>
  <c r="F52" i="53" s="1"/>
  <c r="F55" i="53" s="1"/>
  <c r="G52" i="53" s="1"/>
  <c r="G55" i="53" s="1"/>
  <c r="H52" i="53" s="1"/>
  <c r="H55" i="53" s="1"/>
  <c r="I52" i="53" s="1"/>
  <c r="I55" i="53" s="1"/>
  <c r="J52" i="53" s="1"/>
  <c r="J55" i="53" s="1"/>
  <c r="K52" i="53" s="1"/>
  <c r="K55" i="53" s="1"/>
  <c r="L52" i="53" s="1"/>
  <c r="L55" i="53" s="1"/>
  <c r="C1" i="108"/>
  <c r="E108" i="94" l="1"/>
  <c r="E101" i="94"/>
  <c r="E95" i="94"/>
  <c r="E88" i="94"/>
  <c r="E82" i="94"/>
  <c r="E75" i="94"/>
  <c r="E62" i="94"/>
  <c r="E69" i="94"/>
  <c r="D17" i="91" l="1"/>
  <c r="D18" i="91"/>
  <c r="D19" i="91"/>
  <c r="D20" i="91"/>
  <c r="E18" i="91"/>
  <c r="E19" i="91"/>
  <c r="E20" i="91"/>
  <c r="E17" i="91"/>
  <c r="D7" i="91"/>
  <c r="D8" i="91"/>
  <c r="D9" i="91"/>
  <c r="D10" i="91"/>
  <c r="E8" i="91"/>
  <c r="E9" i="91"/>
  <c r="E10" i="91"/>
  <c r="E7" i="91"/>
  <c r="D14" i="91"/>
  <c r="E14" i="91"/>
  <c r="D13" i="91"/>
  <c r="E13" i="91"/>
  <c r="J19" i="91" l="1"/>
  <c r="K19" i="91"/>
  <c r="L19" i="91"/>
  <c r="M19" i="91"/>
  <c r="N19" i="91"/>
  <c r="J20" i="91"/>
  <c r="K20" i="91"/>
  <c r="L20" i="91"/>
  <c r="M20" i="91"/>
  <c r="N20" i="91"/>
  <c r="G24" i="82" l="1"/>
  <c r="F24" i="82"/>
  <c r="L24" i="82"/>
  <c r="J24" i="82"/>
  <c r="K24" i="82"/>
  <c r="E24" i="82"/>
  <c r="O20" i="91"/>
  <c r="O19" i="91"/>
  <c r="H24" i="82"/>
  <c r="I24" i="82"/>
  <c r="L27" i="83" l="1"/>
  <c r="A23" i="94"/>
  <c r="A22" i="94"/>
  <c r="F63" i="65"/>
  <c r="K48" i="70"/>
  <c r="L48" i="70"/>
  <c r="J48" i="70"/>
  <c r="I48" i="70"/>
  <c r="H48" i="70"/>
  <c r="G48" i="70"/>
  <c r="F48" i="70"/>
  <c r="E48" i="70"/>
  <c r="D48" i="70"/>
  <c r="H33" i="70"/>
  <c r="E33" i="70" l="1"/>
  <c r="L33" i="70"/>
  <c r="G33" i="70"/>
  <c r="F33" i="70"/>
  <c r="K33" i="70"/>
  <c r="J33" i="70"/>
  <c r="D33" i="70"/>
  <c r="I33" i="70"/>
  <c r="L10" i="84" l="1"/>
  <c r="K10" i="84"/>
  <c r="J10" i="84"/>
  <c r="I10" i="84"/>
  <c r="H10" i="84"/>
  <c r="G10" i="84"/>
  <c r="F10" i="84"/>
  <c r="E10" i="84"/>
  <c r="N9" i="65" l="1"/>
  <c r="G12" i="82"/>
  <c r="L12" i="82"/>
  <c r="I9" i="65"/>
  <c r="J9" i="65"/>
  <c r="K9" i="65"/>
  <c r="L9" i="65"/>
  <c r="M9" i="65"/>
  <c r="H12" i="82"/>
  <c r="F12" i="82"/>
  <c r="I12" i="82"/>
  <c r="H9" i="65"/>
  <c r="J12" i="82"/>
  <c r="K12" i="82"/>
  <c r="L34" i="70"/>
  <c r="F34" i="70"/>
  <c r="G34" i="70"/>
  <c r="H34" i="70"/>
  <c r="I34" i="70"/>
  <c r="E34" i="70"/>
  <c r="D34" i="70"/>
  <c r="J34" i="70"/>
  <c r="K34" i="70"/>
  <c r="L37" i="70"/>
  <c r="D37" i="70"/>
  <c r="I37" i="70"/>
  <c r="K37" i="70"/>
  <c r="F37" i="70"/>
  <c r="G37" i="70"/>
  <c r="E37" i="70"/>
  <c r="H37" i="70"/>
  <c r="J37" i="70"/>
  <c r="D59" i="84" a="1"/>
  <c r="D59" i="84" s="1"/>
  <c r="D58" i="70" a="1"/>
  <c r="D58" i="70" s="1"/>
  <c r="D57" i="70" a="1"/>
  <c r="D57" i="70" s="1"/>
  <c r="D61" i="70" a="1"/>
  <c r="D61" i="70" s="1"/>
  <c r="D38" i="70"/>
  <c r="L38" i="70"/>
  <c r="E38" i="70"/>
  <c r="F38" i="70"/>
  <c r="G38" i="70"/>
  <c r="H38" i="70"/>
  <c r="I38" i="70"/>
  <c r="J38" i="70"/>
  <c r="K38" i="70"/>
  <c r="D18" i="82"/>
  <c r="E18" i="82"/>
  <c r="L18" i="82"/>
  <c r="H18" i="82"/>
  <c r="J18" i="82"/>
  <c r="K18" i="82"/>
  <c r="F18" i="82"/>
  <c r="G18" i="82"/>
  <c r="I18" i="82"/>
  <c r="K127" i="70"/>
  <c r="L127" i="70"/>
  <c r="E3" i="70"/>
  <c r="F3" i="70"/>
  <c r="G3" i="70"/>
  <c r="H3" i="70"/>
  <c r="I3" i="70"/>
  <c r="J3" i="70"/>
  <c r="K3" i="70"/>
  <c r="L3" i="70"/>
  <c r="M70" i="65"/>
  <c r="N70" i="65"/>
  <c r="M77" i="65"/>
  <c r="N77" i="65"/>
  <c r="M80" i="65"/>
  <c r="M128" i="65" s="1"/>
  <c r="N80" i="65"/>
  <c r="N128" i="65" s="1"/>
  <c r="K30" i="70"/>
  <c r="L30" i="70"/>
  <c r="F5" i="57" l="1"/>
  <c r="G9" i="65" s="1"/>
  <c r="G89" i="65" s="1"/>
  <c r="F6" i="57"/>
  <c r="E12" i="82" s="1"/>
  <c r="D99" i="81"/>
  <c r="D98" i="81"/>
  <c r="B14" i="84"/>
  <c r="C29" i="84" s="1"/>
  <c r="C35" i="84" s="1"/>
  <c r="D13" i="84"/>
  <c r="E13" i="84" s="1"/>
  <c r="F13" i="84" s="1"/>
  <c r="G13" i="84" s="1"/>
  <c r="H13" i="84" s="1"/>
  <c r="I13" i="84" s="1"/>
  <c r="J13" i="84" s="1"/>
  <c r="K13" i="84" s="1"/>
  <c r="L13" i="84" s="1"/>
  <c r="B13" i="84"/>
  <c r="C28" i="84" s="1"/>
  <c r="C34" i="84" s="1"/>
  <c r="D12" i="84"/>
  <c r="E12" i="84" s="1"/>
  <c r="F12" i="84" s="1"/>
  <c r="G12" i="84" s="1"/>
  <c r="H12" i="84" s="1"/>
  <c r="I12" i="84" s="1"/>
  <c r="J12" i="84" s="1"/>
  <c r="K12" i="84" s="1"/>
  <c r="L12" i="84" s="1"/>
  <c r="B12" i="84"/>
  <c r="C27" i="84" s="1"/>
  <c r="C33" i="84" s="1"/>
  <c r="B17" i="83"/>
  <c r="A48" i="83" s="1"/>
  <c r="B53" i="83" s="1"/>
  <c r="B6" i="84" s="1"/>
  <c r="B16" i="83"/>
  <c r="A46" i="83" s="1"/>
  <c r="B15" i="83"/>
  <c r="A45" i="83" s="1"/>
  <c r="B14" i="83"/>
  <c r="A44" i="83" s="1"/>
  <c r="B10" i="83"/>
  <c r="A39" i="83" s="1"/>
  <c r="B52" i="83" s="1"/>
  <c r="B5" i="84" s="1"/>
  <c r="B9" i="83"/>
  <c r="A37" i="83" s="1"/>
  <c r="B8" i="83"/>
  <c r="A36" i="83" s="1"/>
  <c r="B7" i="83"/>
  <c r="A35" i="83" s="1"/>
  <c r="B6" i="83"/>
  <c r="A34" i="83" s="1"/>
  <c r="B5" i="83"/>
  <c r="A33" i="83" s="1"/>
  <c r="D3" i="83"/>
  <c r="A45" i="81"/>
  <c r="A64" i="81"/>
  <c r="A82" i="81" s="1"/>
  <c r="A61" i="81"/>
  <c r="A79" i="81" s="1"/>
  <c r="A58" i="81"/>
  <c r="A76" i="81" s="1"/>
  <c r="A55" i="81"/>
  <c r="A73" i="81" s="1"/>
  <c r="B53" i="81"/>
  <c r="B52" i="81"/>
  <c r="A52" i="81"/>
  <c r="A70" i="81" s="1"/>
  <c r="B34" i="69"/>
  <c r="B33" i="69"/>
  <c r="B32" i="69"/>
  <c r="B31" i="69"/>
  <c r="B30" i="69"/>
  <c r="B29" i="69"/>
  <c r="B55" i="65"/>
  <c r="B73" i="65" s="1"/>
  <c r="B54" i="65"/>
  <c r="B72" i="65" s="1"/>
  <c r="B53" i="65"/>
  <c r="B71" i="65" s="1"/>
  <c r="B52" i="65"/>
  <c r="B70" i="65" s="1"/>
  <c r="A52" i="65"/>
  <c r="B51" i="65"/>
  <c r="B69" i="65" s="1"/>
  <c r="A51" i="65"/>
  <c r="B45" i="65"/>
  <c r="B44" i="65"/>
  <c r="B43" i="65"/>
  <c r="B42" i="65"/>
  <c r="B41" i="65"/>
  <c r="A41" i="65"/>
  <c r="B40" i="65"/>
  <c r="A40" i="65"/>
  <c r="B37" i="65"/>
  <c r="B36" i="65"/>
  <c r="B35" i="65"/>
  <c r="B34" i="65"/>
  <c r="A34" i="65"/>
  <c r="B33" i="65"/>
  <c r="A33" i="65"/>
  <c r="B25" i="65"/>
  <c r="B24" i="65"/>
  <c r="B23" i="65"/>
  <c r="A23" i="65"/>
  <c r="B22" i="65"/>
  <c r="B19" i="65"/>
  <c r="B18" i="65"/>
  <c r="B17" i="65"/>
  <c r="B16" i="65"/>
  <c r="D16" i="69"/>
  <c r="D94" i="69" s="1"/>
  <c r="D10" i="69"/>
  <c r="D76" i="69" s="1"/>
  <c r="B41" i="91"/>
  <c r="D16" i="84"/>
  <c r="E16" i="84"/>
  <c r="F16" i="84"/>
  <c r="G16" i="84"/>
  <c r="B17" i="84"/>
  <c r="C70" i="84" s="1"/>
  <c r="C78" i="84" s="1"/>
  <c r="C85" i="84" s="1"/>
  <c r="C94" i="84" s="1"/>
  <c r="B18" i="84"/>
  <c r="C71" i="84" s="1"/>
  <c r="C79" i="84" s="1"/>
  <c r="C86" i="84" s="1"/>
  <c r="C95" i="84" s="1"/>
  <c r="B19" i="84"/>
  <c r="B20" i="84"/>
  <c r="C73" i="84" s="1"/>
  <c r="E84" i="84"/>
  <c r="E99" i="84" s="1"/>
  <c r="F84" i="84"/>
  <c r="F99" i="84" s="1"/>
  <c r="G84" i="84"/>
  <c r="G99" i="84" s="1"/>
  <c r="J99" i="84"/>
  <c r="C66" i="84"/>
  <c r="C67" i="84"/>
  <c r="A5" i="83"/>
  <c r="A13" i="83"/>
  <c r="A32" i="81"/>
  <c r="A33" i="81"/>
  <c r="A34" i="81"/>
  <c r="A35" i="81"/>
  <c r="A36" i="81"/>
  <c r="B73" i="81"/>
  <c r="B76" i="81" s="1"/>
  <c r="B79" i="81" s="1"/>
  <c r="B82" i="81" s="1"/>
  <c r="B74" i="81"/>
  <c r="B77" i="81" s="1"/>
  <c r="B80" i="81" s="1"/>
  <c r="B83" i="81" s="1"/>
  <c r="B99" i="81" s="1"/>
  <c r="B102" i="81" s="1"/>
  <c r="C43" i="84" s="1"/>
  <c r="C23" i="70"/>
  <c r="D127" i="70"/>
  <c r="E127" i="70"/>
  <c r="F127" i="70"/>
  <c r="G127" i="70"/>
  <c r="H127" i="70"/>
  <c r="I127" i="70"/>
  <c r="J127" i="70"/>
  <c r="B6" i="69"/>
  <c r="A64" i="69" s="1"/>
  <c r="B7" i="69"/>
  <c r="A61" i="69" s="1"/>
  <c r="B8" i="69"/>
  <c r="A68" i="69" s="1"/>
  <c r="B9" i="69"/>
  <c r="A72" i="69" s="1"/>
  <c r="B10" i="69"/>
  <c r="A76" i="69" s="1"/>
  <c r="B11" i="69"/>
  <c r="A80" i="69" s="1"/>
  <c r="C132" i="69" s="1"/>
  <c r="B14" i="69"/>
  <c r="A86" i="69" s="1"/>
  <c r="B15" i="69"/>
  <c r="A90" i="69" s="1"/>
  <c r="B16" i="69"/>
  <c r="A94" i="69" s="1"/>
  <c r="B17" i="69"/>
  <c r="A98" i="69" s="1"/>
  <c r="B18" i="69"/>
  <c r="B61" i="69"/>
  <c r="B62" i="69"/>
  <c r="B65" i="69"/>
  <c r="B66" i="69"/>
  <c r="B69" i="69"/>
  <c r="B70" i="69"/>
  <c r="B73" i="69"/>
  <c r="B74" i="69"/>
  <c r="B77" i="69"/>
  <c r="B78" i="69"/>
  <c r="B81" i="69"/>
  <c r="B82" i="69"/>
  <c r="B87" i="69"/>
  <c r="B88" i="69"/>
  <c r="C88" i="69"/>
  <c r="B91" i="69"/>
  <c r="B92" i="69"/>
  <c r="B95" i="69"/>
  <c r="B96" i="69"/>
  <c r="B99" i="69"/>
  <c r="B100" i="69"/>
  <c r="B110" i="69"/>
  <c r="C118" i="69"/>
  <c r="C121" i="69"/>
  <c r="C129" i="69"/>
  <c r="B132" i="69"/>
  <c r="C140" i="69"/>
  <c r="C143" i="69"/>
  <c r="B166" i="69" s="1"/>
  <c r="B14" i="70" s="1"/>
  <c r="C151" i="69"/>
  <c r="C163" i="69"/>
  <c r="C11" i="70" s="1"/>
  <c r="C172" i="69"/>
  <c r="C20" i="70" s="1"/>
  <c r="E13" i="65"/>
  <c r="A58" i="65"/>
  <c r="B58" i="65"/>
  <c r="B76" i="65" s="1"/>
  <c r="A59" i="65"/>
  <c r="B59" i="65"/>
  <c r="B77" i="65" s="1"/>
  <c r="A60" i="65"/>
  <c r="B60" i="65"/>
  <c r="B78" i="65" s="1"/>
  <c r="A61" i="65"/>
  <c r="B61" i="65"/>
  <c r="B79" i="65" s="1"/>
  <c r="A62" i="65"/>
  <c r="B62" i="65"/>
  <c r="B80" i="65" s="1"/>
  <c r="B63" i="65"/>
  <c r="B81" i="65" s="1"/>
  <c r="G70" i="65"/>
  <c r="H70" i="65"/>
  <c r="I70" i="65"/>
  <c r="J70" i="65"/>
  <c r="K70" i="65"/>
  <c r="L70" i="65"/>
  <c r="G77" i="65"/>
  <c r="H77" i="65"/>
  <c r="I77" i="65"/>
  <c r="J77" i="65"/>
  <c r="K77" i="65"/>
  <c r="L77" i="65"/>
  <c r="G80" i="65"/>
  <c r="G128" i="65" s="1"/>
  <c r="H80" i="65"/>
  <c r="H128" i="65" s="1"/>
  <c r="I80" i="65"/>
  <c r="I128" i="65" s="1"/>
  <c r="J80" i="65"/>
  <c r="J128" i="65" s="1"/>
  <c r="K80" i="65"/>
  <c r="K128" i="65" s="1"/>
  <c r="L80" i="65"/>
  <c r="L128" i="65" s="1"/>
  <c r="B5" i="59"/>
  <c r="A6" i="59"/>
  <c r="A14" i="59" s="1"/>
  <c r="A47" i="69" s="1"/>
  <c r="B6" i="59"/>
  <c r="A7" i="59"/>
  <c r="B7" i="59"/>
  <c r="A8" i="59"/>
  <c r="B8" i="59"/>
  <c r="A9" i="59"/>
  <c r="B9" i="59"/>
  <c r="A10" i="59"/>
  <c r="B10" i="59"/>
  <c r="A11" i="59"/>
  <c r="B11" i="59"/>
  <c r="A36" i="59"/>
  <c r="A44" i="59" s="1"/>
  <c r="A53" i="59" s="1"/>
  <c r="A15" i="65"/>
  <c r="B15" i="65"/>
  <c r="A16" i="65"/>
  <c r="B26" i="65"/>
  <c r="B27" i="65"/>
  <c r="C29" i="69"/>
  <c r="B13" i="83"/>
  <c r="A43" i="83" s="1"/>
  <c r="G118" i="65" l="1"/>
  <c r="E5" i="57"/>
  <c r="E6" i="57"/>
  <c r="D84" i="84"/>
  <c r="D99" i="84" s="1"/>
  <c r="K99" i="81"/>
  <c r="L99" i="81"/>
  <c r="K98" i="81"/>
  <c r="L98" i="81"/>
  <c r="H99" i="84"/>
  <c r="I99" i="84"/>
  <c r="A18" i="59"/>
  <c r="D25" i="53"/>
  <c r="C103" i="84"/>
  <c r="B20" i="91" s="1"/>
  <c r="C81" i="84"/>
  <c r="C88" i="84" s="1"/>
  <c r="C97" i="84" s="1"/>
  <c r="A19" i="59"/>
  <c r="A29" i="59"/>
  <c r="C28" i="70" s="1"/>
  <c r="A28" i="59"/>
  <c r="C27" i="70" s="1"/>
  <c r="C72" i="84"/>
  <c r="C80" i="84" s="1"/>
  <c r="C87" i="84" s="1"/>
  <c r="C96" i="84" s="1"/>
  <c r="A27" i="59"/>
  <c r="C26" i="70" s="1"/>
  <c r="A26" i="59"/>
  <c r="C25" i="70" s="1"/>
  <c r="A17" i="59"/>
  <c r="A15" i="59"/>
  <c r="A25" i="59"/>
  <c r="C24" i="70" s="1"/>
  <c r="C110" i="69"/>
  <c r="B157" i="69" s="1"/>
  <c r="B5" i="70" s="1"/>
  <c r="A16" i="59"/>
  <c r="C101" i="84"/>
  <c r="D14" i="84"/>
  <c r="E14" i="84" s="1"/>
  <c r="F14" i="84" s="1"/>
  <c r="G14" i="84" s="1"/>
  <c r="H14" i="84" s="1"/>
  <c r="I14" i="84" s="1"/>
  <c r="J14" i="84" s="1"/>
  <c r="K14" i="84" s="1"/>
  <c r="L14" i="84" s="1"/>
  <c r="C161" i="69"/>
  <c r="C9" i="70" s="1"/>
  <c r="C37" i="70" s="1"/>
  <c r="C170" i="69"/>
  <c r="C18" i="70" s="1"/>
  <c r="B41" i="69"/>
  <c r="C149" i="69"/>
  <c r="C127" i="69"/>
  <c r="C138" i="69"/>
  <c r="C116" i="69"/>
  <c r="H30" i="70"/>
  <c r="G30" i="70"/>
  <c r="F99" i="81"/>
  <c r="G99" i="81"/>
  <c r="H99" i="81"/>
  <c r="J99" i="81"/>
  <c r="E99" i="81"/>
  <c r="I99" i="81"/>
  <c r="F30" i="70"/>
  <c r="B40" i="69"/>
  <c r="C160" i="69"/>
  <c r="C8" i="70" s="1"/>
  <c r="C36" i="70" s="1"/>
  <c r="C169" i="69"/>
  <c r="C17" i="70" s="1"/>
  <c r="C148" i="69"/>
  <c r="C126" i="69"/>
  <c r="C137" i="69"/>
  <c r="C115" i="69"/>
  <c r="C158" i="69"/>
  <c r="C6" i="70" s="1"/>
  <c r="C34" i="70" s="1"/>
  <c r="C167" i="69"/>
  <c r="C15" i="70" s="1"/>
  <c r="C146" i="69"/>
  <c r="C124" i="69"/>
  <c r="C135" i="69"/>
  <c r="B38" i="69"/>
  <c r="C113" i="69"/>
  <c r="A25" i="83"/>
  <c r="A26" i="69"/>
  <c r="E30" i="70"/>
  <c r="G98" i="81"/>
  <c r="H98" i="81"/>
  <c r="I98" i="81"/>
  <c r="E98" i="81"/>
  <c r="F98" i="81"/>
  <c r="J98" i="81"/>
  <c r="D10" i="84"/>
  <c r="D30" i="70"/>
  <c r="C162" i="69"/>
  <c r="C10" i="70" s="1"/>
  <c r="C38" i="70" s="1"/>
  <c r="C171" i="69"/>
  <c r="C19" i="70" s="1"/>
  <c r="C150" i="69"/>
  <c r="C128" i="69"/>
  <c r="C139" i="69"/>
  <c r="B42" i="69"/>
  <c r="C117" i="69"/>
  <c r="A24" i="83"/>
  <c r="A6" i="82"/>
  <c r="A25" i="69"/>
  <c r="A7" i="65"/>
  <c r="J30" i="70"/>
  <c r="B39" i="69"/>
  <c r="C159" i="69"/>
  <c r="C7" i="70" s="1"/>
  <c r="C35" i="70" s="1"/>
  <c r="C168" i="69"/>
  <c r="C16" i="70" s="1"/>
  <c r="C147" i="69"/>
  <c r="C125" i="69"/>
  <c r="C136" i="69"/>
  <c r="C114" i="69"/>
  <c r="C157" i="69"/>
  <c r="C5" i="70" s="1"/>
  <c r="C33" i="70" s="1"/>
  <c r="C166" i="69"/>
  <c r="C14" i="70" s="1"/>
  <c r="B37" i="69"/>
  <c r="C145" i="69"/>
  <c r="C123" i="69"/>
  <c r="C134" i="69"/>
  <c r="C112" i="69"/>
  <c r="I30" i="70"/>
  <c r="B85" i="81"/>
  <c r="B88" i="81"/>
  <c r="B89" i="81" s="1"/>
  <c r="B90" i="81" s="1"/>
  <c r="B91" i="81" s="1"/>
  <c r="C39" i="84" s="1"/>
  <c r="B98" i="81"/>
  <c r="B101" i="81" s="1"/>
  <c r="C42" i="84" s="1"/>
  <c r="B93" i="81"/>
  <c r="B94" i="81" s="1"/>
  <c r="B95" i="81" s="1"/>
  <c r="B96" i="81" s="1"/>
  <c r="C40" i="84" s="1"/>
  <c r="B86" i="81"/>
  <c r="C100" i="84"/>
  <c r="C52" i="70" l="1"/>
  <c r="C60" i="70"/>
  <c r="C51" i="70"/>
  <c r="C59" i="70"/>
  <c r="C41" i="70"/>
  <c r="C100" i="70" s="1"/>
  <c r="C109" i="70" s="1"/>
  <c r="C120" i="70" s="1"/>
  <c r="C128" i="70" s="1"/>
  <c r="B7" i="91" s="1"/>
  <c r="C49" i="70"/>
  <c r="C57" i="70"/>
  <c r="C53" i="70"/>
  <c r="C61" i="70"/>
  <c r="C54" i="70"/>
  <c r="C62" i="70"/>
  <c r="C50" i="70"/>
  <c r="C58" i="70"/>
  <c r="A50" i="69"/>
  <c r="A52" i="69"/>
  <c r="A37" i="59"/>
  <c r="A45" i="59" s="1"/>
  <c r="A54" i="59" s="1"/>
  <c r="A51" i="69"/>
  <c r="A49" i="69"/>
  <c r="A48" i="69"/>
  <c r="A39" i="59"/>
  <c r="A47" i="59" s="1"/>
  <c r="A56" i="59" s="1"/>
  <c r="A40" i="59"/>
  <c r="A48" i="59" s="1"/>
  <c r="A57" i="59" s="1"/>
  <c r="A41" i="59"/>
  <c r="A49" i="59" s="1"/>
  <c r="A58" i="59" s="1"/>
  <c r="C102" i="84"/>
  <c r="B19" i="91" s="1"/>
  <c r="A38" i="59"/>
  <c r="A46" i="59" s="1"/>
  <c r="A55" i="59" s="1"/>
  <c r="C83" i="70"/>
  <c r="C76" i="70"/>
  <c r="C90" i="70"/>
  <c r="C67" i="70"/>
  <c r="B36" i="91" s="1"/>
  <c r="C42" i="70"/>
  <c r="C101" i="70" s="1"/>
  <c r="C110" i="70" s="1"/>
  <c r="D3" i="70"/>
  <c r="C82" i="70"/>
  <c r="C75" i="70"/>
  <c r="C89" i="70"/>
  <c r="C66" i="70"/>
  <c r="B35" i="91" s="1"/>
  <c r="C86" i="70"/>
  <c r="C93" i="70"/>
  <c r="C45" i="70"/>
  <c r="C104" i="70" s="1"/>
  <c r="C70" i="70"/>
  <c r="B39" i="91" s="1"/>
  <c r="C79" i="70"/>
  <c r="C77" i="70"/>
  <c r="C84" i="70"/>
  <c r="C43" i="70"/>
  <c r="C102" i="70" s="1"/>
  <c r="C91" i="70"/>
  <c r="C68" i="70"/>
  <c r="B37" i="91" s="1"/>
  <c r="C51" i="84"/>
  <c r="B29" i="91" s="1"/>
  <c r="C52" i="84"/>
  <c r="B30" i="91" s="1"/>
  <c r="C94" i="70"/>
  <c r="C71" i="70"/>
  <c r="B40" i="91" s="1"/>
  <c r="C87" i="70"/>
  <c r="C46" i="70"/>
  <c r="C105" i="70" s="1"/>
  <c r="C114" i="70" s="1"/>
  <c r="C125" i="70" s="1"/>
  <c r="C133" i="70" s="1"/>
  <c r="B14" i="91" s="1"/>
  <c r="C80" i="70"/>
  <c r="C69" i="70"/>
  <c r="B38" i="91" s="1"/>
  <c r="C44" i="70"/>
  <c r="C103" i="70" s="1"/>
  <c r="C78" i="70"/>
  <c r="C85" i="70"/>
  <c r="C92" i="70"/>
  <c r="C121" i="70" l="1"/>
  <c r="C129" i="70" s="1"/>
  <c r="B8" i="91" s="1"/>
  <c r="C111" i="70"/>
  <c r="C122" i="70" s="1"/>
  <c r="C130" i="70" s="1"/>
  <c r="B9" i="91" s="1"/>
  <c r="C112" i="70"/>
  <c r="C123" i="70" s="1"/>
  <c r="C131" i="70" s="1"/>
  <c r="B10" i="91" s="1"/>
  <c r="C113" i="70"/>
  <c r="C124" i="70" s="1"/>
  <c r="C132" i="70" s="1"/>
  <c r="B13" i="91" s="1"/>
  <c r="D41" i="70" l="1"/>
  <c r="D100" i="70" s="1"/>
  <c r="D128" i="70" s="1"/>
  <c r="F7" i="91" s="1"/>
  <c r="E41" i="70"/>
  <c r="E100" i="70" s="1"/>
  <c r="E128" i="70" s="1"/>
  <c r="G7" i="91" s="1"/>
  <c r="D42" i="70"/>
  <c r="D101" i="70" s="1"/>
  <c r="D129" i="70" s="1"/>
  <c r="F8" i="91" s="1"/>
  <c r="E42" i="70"/>
  <c r="E101" i="70" s="1"/>
  <c r="E129" i="70" s="1"/>
  <c r="G8" i="91" s="1"/>
  <c r="D43" i="70"/>
  <c r="D102" i="70" s="1"/>
  <c r="D130" i="70" s="1"/>
  <c r="F9" i="91" s="1"/>
  <c r="E43" i="70"/>
  <c r="E102" i="70" s="1"/>
  <c r="E130" i="70" s="1"/>
  <c r="G9" i="91" s="1"/>
  <c r="F43" i="70"/>
  <c r="F102" i="70" s="1"/>
  <c r="F130" i="70" s="1"/>
  <c r="H9" i="91" s="1"/>
  <c r="D44" i="70"/>
  <c r="D103" i="70" s="1"/>
  <c r="D131" i="70" s="1"/>
  <c r="F10" i="91" s="1"/>
  <c r="E44" i="70"/>
  <c r="E103" i="70" s="1"/>
  <c r="E131" i="70" s="1"/>
  <c r="G10" i="91" s="1"/>
  <c r="F44" i="70"/>
  <c r="F103" i="70" s="1"/>
  <c r="F131" i="70" s="1"/>
  <c r="H10" i="91" s="1"/>
  <c r="D45" i="70"/>
  <c r="D104" i="70" s="1"/>
  <c r="D132" i="70" s="1"/>
  <c r="F13" i="91" s="1"/>
  <c r="E45" i="70"/>
  <c r="E104" i="70" s="1"/>
  <c r="E132" i="70" s="1"/>
  <c r="G13" i="91" s="1"/>
  <c r="D46" i="70"/>
  <c r="D105" i="70" s="1"/>
  <c r="D133" i="70" s="1"/>
  <c r="F14" i="91" s="1"/>
  <c r="E46" i="70"/>
  <c r="E105" i="70" s="1"/>
  <c r="E133" i="70" s="1"/>
  <c r="G14" i="91" s="1"/>
  <c r="F46" i="70"/>
  <c r="F105" i="70" s="1"/>
  <c r="F133" i="70" s="1"/>
  <c r="H14" i="91" s="1"/>
  <c r="D17" i="84"/>
  <c r="D78" i="84" s="1"/>
  <c r="D85" i="84" s="1"/>
  <c r="D100" i="84" s="1"/>
  <c r="F17" i="91" s="1"/>
  <c r="E17" i="84"/>
  <c r="E78" i="84" s="1"/>
  <c r="E85" i="84" s="1"/>
  <c r="E100" i="84" s="1"/>
  <c r="G17" i="91" s="1"/>
  <c r="F17" i="84"/>
  <c r="F78" i="84" s="1"/>
  <c r="D18" i="84"/>
  <c r="D79" i="84" s="1"/>
  <c r="D86" i="84" s="1"/>
  <c r="D101" i="84" s="1"/>
  <c r="F18" i="91" s="1"/>
  <c r="E18" i="84"/>
  <c r="E79" i="84" s="1"/>
  <c r="E86" i="84" s="1"/>
  <c r="E101" i="84" s="1"/>
  <c r="G18" i="91" s="1"/>
  <c r="F18" i="84"/>
  <c r="F79" i="84" s="1"/>
  <c r="D19" i="84"/>
  <c r="D80" i="84" s="1"/>
  <c r="D87" i="84" s="1"/>
  <c r="D102" i="84" s="1"/>
  <c r="F19" i="91" s="1"/>
  <c r="E19" i="84"/>
  <c r="E80" i="84" s="1"/>
  <c r="E87" i="84" s="1"/>
  <c r="E102" i="84" s="1"/>
  <c r="G19" i="91" s="1"/>
  <c r="F19" i="84"/>
  <c r="F80" i="84" s="1"/>
  <c r="D20" i="84"/>
  <c r="D81" i="84" s="1"/>
  <c r="D88" i="84" s="1"/>
  <c r="D103" i="84" s="1"/>
  <c r="F20" i="91" s="1"/>
  <c r="E20" i="84"/>
  <c r="E81" i="84" s="1"/>
  <c r="E88" i="84" s="1"/>
  <c r="E103" i="84" s="1"/>
  <c r="G20" i="91" s="1"/>
  <c r="F20" i="84"/>
  <c r="F81" i="84" s="1"/>
  <c r="A88" i="65"/>
  <c r="A89" i="65"/>
  <c r="B89" i="65"/>
  <c r="B90" i="65"/>
  <c r="B92" i="65"/>
  <c r="A95" i="65"/>
  <c r="B95" i="65"/>
  <c r="A96" i="65"/>
  <c r="B99" i="65"/>
  <c r="B100" i="65"/>
  <c r="A22" i="65"/>
  <c r="F86" i="84" l="1"/>
  <c r="F101" i="84" s="1"/>
  <c r="H18" i="91" s="1"/>
  <c r="F85" i="84"/>
  <c r="F100" i="84" s="1"/>
  <c r="H17" i="91" s="1"/>
  <c r="F88" i="84"/>
  <c r="F103" i="84" s="1"/>
  <c r="H20" i="91" s="1"/>
  <c r="F87" i="84"/>
  <c r="F102" i="84" s="1"/>
  <c r="H19" i="91" s="1"/>
  <c r="F45" i="70"/>
  <c r="F104" i="70" s="1"/>
  <c r="F132" i="70" s="1"/>
  <c r="H13" i="91" s="1"/>
  <c r="F42" i="70"/>
  <c r="F101" i="70" s="1"/>
  <c r="F129" i="70" s="1"/>
  <c r="H8" i="91" s="1"/>
  <c r="F41" i="70"/>
  <c r="B88" i="65"/>
  <c r="B97" i="65"/>
  <c r="B91" i="65"/>
  <c r="F100" i="70" l="1"/>
  <c r="F128" i="70" s="1"/>
  <c r="H7" i="91" s="1"/>
  <c r="B98" i="65"/>
  <c r="B96" i="65"/>
  <c r="D116" i="70" l="1" a="1"/>
  <c r="D90" i="84" l="1" a="1"/>
  <c r="D116" i="70"/>
  <c r="H117" i="70"/>
  <c r="I117" i="70" s="1"/>
  <c r="J117" i="70" s="1"/>
  <c r="K117" i="70" s="1"/>
  <c r="L117" i="70" s="1"/>
  <c r="M116" i="70" s="1"/>
  <c r="J35" i="70"/>
  <c r="K35" i="70"/>
  <c r="E35" i="70"/>
  <c r="I35" i="70"/>
  <c r="F35" i="70"/>
  <c r="D35" i="70"/>
  <c r="L35" i="70"/>
  <c r="G35" i="70"/>
  <c r="H35" i="70"/>
  <c r="H91" i="84" l="1"/>
  <c r="I91" i="84" s="1"/>
  <c r="J91" i="84" s="1"/>
  <c r="K91" i="84" s="1"/>
  <c r="L91" i="84" s="1"/>
  <c r="N90" i="84" s="1"/>
  <c r="D90" i="84"/>
  <c r="D25" i="83" l="1" a="1"/>
  <c r="D25" i="83" s="1"/>
  <c r="D24" i="83" a="1"/>
  <c r="D24" i="83" s="1"/>
  <c r="D26" i="69" a="1"/>
  <c r="F7" i="65" a="1"/>
  <c r="D6" i="82" a="1"/>
  <c r="D25" i="69" a="1"/>
  <c r="D25" i="69" s="1"/>
  <c r="D34" i="59" a="1"/>
  <c r="D34" i="59" l="1"/>
  <c r="I19" i="82"/>
  <c r="F19" i="82"/>
  <c r="J19" i="82"/>
  <c r="G19" i="82"/>
  <c r="K19" i="82"/>
  <c r="E19" i="82"/>
  <c r="H19" i="82"/>
  <c r="E7" i="82"/>
  <c r="F7" i="82" s="1"/>
  <c r="G7" i="82" s="1"/>
  <c r="H7" i="82" s="1"/>
  <c r="I7" i="82" s="1"/>
  <c r="J7" i="82" s="1"/>
  <c r="K7" i="82" s="1"/>
  <c r="L7" i="82" s="1"/>
  <c r="D6" i="82"/>
  <c r="L19" i="82"/>
  <c r="F7" i="65"/>
  <c r="D26" i="69"/>
  <c r="D19" i="82" l="1"/>
  <c r="D39" i="59" l="1"/>
  <c r="D37" i="59"/>
  <c r="E39" i="59" l="1"/>
  <c r="E37" i="59"/>
  <c r="D36" i="59"/>
  <c r="E36" i="59" s="1"/>
  <c r="F36" i="59" s="1"/>
  <c r="G36" i="59" s="1"/>
  <c r="H36" i="59" s="1"/>
  <c r="I36" i="59" s="1"/>
  <c r="J36" i="59" s="1"/>
  <c r="K36" i="59" s="1"/>
  <c r="L36" i="59" s="1"/>
  <c r="F37" i="59" l="1"/>
  <c r="F39" i="59"/>
  <c r="G39" i="59" l="1"/>
  <c r="G37" i="59"/>
  <c r="H37" i="59" l="1"/>
  <c r="H39" i="59"/>
  <c r="I39" i="59" l="1"/>
  <c r="I37" i="59"/>
  <c r="J37" i="59" l="1"/>
  <c r="J39" i="59"/>
  <c r="K39" i="59" l="1"/>
  <c r="K37" i="59"/>
  <c r="L37" i="59" l="1"/>
  <c r="L39" i="59"/>
  <c r="D41" i="59" l="1"/>
  <c r="D40" i="59"/>
  <c r="D38" i="59"/>
  <c r="E41" i="59" l="1"/>
  <c r="E38" i="59"/>
  <c r="D10" i="82"/>
  <c r="E10" i="82" s="1"/>
  <c r="E40" i="59"/>
  <c r="F40" i="59" s="1"/>
  <c r="G40" i="59" s="1"/>
  <c r="H40" i="59" l="1"/>
  <c r="F10" i="82"/>
  <c r="F38" i="59"/>
  <c r="F41" i="59"/>
  <c r="C22" i="81"/>
  <c r="C23" i="81"/>
  <c r="C24" i="81"/>
  <c r="C25" i="81"/>
  <c r="C45" i="81"/>
  <c r="D65" i="81"/>
  <c r="D64" i="81"/>
  <c r="D62" i="81"/>
  <c r="D61" i="81"/>
  <c r="D59" i="81"/>
  <c r="D58" i="81"/>
  <c r="D56" i="81"/>
  <c r="D55" i="81"/>
  <c r="D53" i="81"/>
  <c r="D52" i="81"/>
  <c r="F59" i="65"/>
  <c r="F60" i="65"/>
  <c r="F61" i="65"/>
  <c r="F62" i="65"/>
  <c r="F52" i="65"/>
  <c r="F53" i="65"/>
  <c r="F54" i="65"/>
  <c r="F41" i="65"/>
  <c r="F42" i="65"/>
  <c r="F43" i="65"/>
  <c r="F44" i="65"/>
  <c r="F34" i="65"/>
  <c r="F35" i="65"/>
  <c r="F36" i="65"/>
  <c r="F23" i="65"/>
  <c r="F26" i="65"/>
  <c r="F16" i="65"/>
  <c r="F17" i="65"/>
  <c r="F18" i="65"/>
  <c r="F96" i="65"/>
  <c r="F99" i="65"/>
  <c r="F89" i="65"/>
  <c r="F90" i="65"/>
  <c r="F91" i="65"/>
  <c r="F77" i="65" l="1"/>
  <c r="F125" i="65" s="1"/>
  <c r="C21" i="81"/>
  <c r="E132" i="94"/>
  <c r="G41" i="59"/>
  <c r="F51" i="65"/>
  <c r="F55" i="65"/>
  <c r="F40" i="65"/>
  <c r="F45" i="65"/>
  <c r="G40" i="65" s="1"/>
  <c r="F72" i="65"/>
  <c r="F120" i="65" s="1"/>
  <c r="G38" i="59"/>
  <c r="F71" i="65"/>
  <c r="F119" i="65" s="1"/>
  <c r="F15" i="65"/>
  <c r="F19" i="65"/>
  <c r="G15" i="65" s="1"/>
  <c r="F70" i="65"/>
  <c r="F118" i="65" s="1"/>
  <c r="G10" i="82"/>
  <c r="F88" i="65"/>
  <c r="F92" i="65"/>
  <c r="F33" i="65"/>
  <c r="F37" i="65"/>
  <c r="G33" i="65" s="1"/>
  <c r="F58" i="65"/>
  <c r="F80" i="65"/>
  <c r="F128" i="65" s="1"/>
  <c r="I40" i="59"/>
  <c r="J40" i="59" s="1"/>
  <c r="F111" i="65" l="1"/>
  <c r="G35" i="65"/>
  <c r="G88" i="65"/>
  <c r="F73" i="65"/>
  <c r="F121" i="65" s="1"/>
  <c r="G51" i="65"/>
  <c r="K40" i="59"/>
  <c r="L40" i="59" s="1"/>
  <c r="E48" i="65"/>
  <c r="F38" i="65"/>
  <c r="G43" i="65"/>
  <c r="F69" i="65"/>
  <c r="F117" i="65" s="1"/>
  <c r="E66" i="65"/>
  <c r="F56" i="65"/>
  <c r="F46" i="65"/>
  <c r="G17" i="65"/>
  <c r="G19" i="65" s="1"/>
  <c r="H15" i="65" s="1"/>
  <c r="H41" i="59"/>
  <c r="H38" i="59"/>
  <c r="G58" i="65"/>
  <c r="F64" i="65"/>
  <c r="H10" i="82"/>
  <c r="F20" i="65"/>
  <c r="C26" i="81"/>
  <c r="C27" i="81" s="1"/>
  <c r="F114" i="65" l="1"/>
  <c r="G42" i="65"/>
  <c r="G45" i="65" s="1"/>
  <c r="H40" i="65" s="1"/>
  <c r="I41" i="59"/>
  <c r="G69" i="65"/>
  <c r="G117" i="65" s="1"/>
  <c r="G53" i="65"/>
  <c r="G71" i="65" s="1"/>
  <c r="I10" i="82"/>
  <c r="G61" i="65"/>
  <c r="H17" i="65"/>
  <c r="H19" i="65" s="1"/>
  <c r="I15" i="65" s="1"/>
  <c r="F74" i="65"/>
  <c r="F105" i="65"/>
  <c r="I38" i="59"/>
  <c r="G60" i="65" l="1"/>
  <c r="G63" i="65" s="1"/>
  <c r="G36" i="65"/>
  <c r="G37" i="65" s="1"/>
  <c r="H33" i="65" s="1"/>
  <c r="H35" i="65" s="1"/>
  <c r="H43" i="65"/>
  <c r="F122" i="65"/>
  <c r="D62" i="69"/>
  <c r="I17" i="65"/>
  <c r="I19" i="65" s="1"/>
  <c r="J15" i="65" s="1"/>
  <c r="J41" i="59"/>
  <c r="J38" i="59"/>
  <c r="J10" i="82"/>
  <c r="G54" i="65" l="1"/>
  <c r="G55" i="65" s="1"/>
  <c r="H42" i="65"/>
  <c r="H45" i="65" s="1"/>
  <c r="I40" i="65" s="1"/>
  <c r="I43" i="65" s="1"/>
  <c r="H58" i="65"/>
  <c r="J17" i="65"/>
  <c r="J19" i="65" s="1"/>
  <c r="K15" i="65" s="1"/>
  <c r="K38" i="59"/>
  <c r="K10" i="82"/>
  <c r="K41" i="59"/>
  <c r="G72" i="65" l="1"/>
  <c r="G120" i="65" s="1"/>
  <c r="H36" i="65"/>
  <c r="H37" i="65" s="1"/>
  <c r="I33" i="65" s="1"/>
  <c r="I35" i="65" s="1"/>
  <c r="H61" i="65"/>
  <c r="H51" i="65"/>
  <c r="G73" i="65"/>
  <c r="L41" i="59"/>
  <c r="L10" i="82"/>
  <c r="K17" i="65"/>
  <c r="K19" i="65" s="1"/>
  <c r="L15" i="65" s="1"/>
  <c r="L38" i="59"/>
  <c r="I42" i="65" l="1"/>
  <c r="I36" i="65" s="1"/>
  <c r="I37" i="65" s="1"/>
  <c r="J33" i="65" s="1"/>
  <c r="J35" i="65" s="1"/>
  <c r="L17" i="65"/>
  <c r="L19" i="65" s="1"/>
  <c r="M15" i="65" s="1"/>
  <c r="G74" i="65"/>
  <c r="G105" i="65"/>
  <c r="H53" i="65"/>
  <c r="H71" i="65" s="1"/>
  <c r="H69" i="65"/>
  <c r="I45" i="65" l="1"/>
  <c r="J40" i="65" s="1"/>
  <c r="J43" i="65" s="1"/>
  <c r="J42" i="65" s="1"/>
  <c r="J45" i="65" s="1"/>
  <c r="K40" i="65" s="1"/>
  <c r="H60" i="65"/>
  <c r="H63" i="65" s="1"/>
  <c r="M17" i="65"/>
  <c r="M19" i="65" s="1"/>
  <c r="N15" i="65" s="1"/>
  <c r="N17" i="65" s="1"/>
  <c r="N19" i="65" s="1"/>
  <c r="J36" i="65" l="1"/>
  <c r="J37" i="65" s="1"/>
  <c r="K33" i="65" s="1"/>
  <c r="K35" i="65" s="1"/>
  <c r="K43" i="65"/>
  <c r="H54" i="65"/>
  <c r="H72" i="65" s="1"/>
  <c r="H120" i="65" s="1"/>
  <c r="I58" i="65"/>
  <c r="K42" i="65" l="1"/>
  <c r="K36" i="65" s="1"/>
  <c r="K37" i="65" s="1"/>
  <c r="L33" i="65" s="1"/>
  <c r="H55" i="65"/>
  <c r="I51" i="65" s="1"/>
  <c r="I61" i="65"/>
  <c r="G18" i="84"/>
  <c r="G79" i="84" s="1"/>
  <c r="G19" i="84"/>
  <c r="G80" i="84" s="1"/>
  <c r="G20" i="84"/>
  <c r="G81" i="84" s="1"/>
  <c r="G17" i="84"/>
  <c r="G78" i="84" s="1"/>
  <c r="G42" i="70"/>
  <c r="G101" i="70" s="1"/>
  <c r="G43" i="70"/>
  <c r="G102" i="70" s="1"/>
  <c r="G44" i="70"/>
  <c r="G103" i="70" s="1"/>
  <c r="G45" i="70"/>
  <c r="G104" i="70" s="1"/>
  <c r="G46" i="70"/>
  <c r="G105" i="70" s="1"/>
  <c r="G41" i="70"/>
  <c r="G100" i="70" s="1"/>
  <c r="L35" i="65" l="1"/>
  <c r="K45" i="65"/>
  <c r="L40" i="65" s="1"/>
  <c r="L43" i="65" s="1"/>
  <c r="G85" i="84"/>
  <c r="G88" i="84"/>
  <c r="G87" i="84"/>
  <c r="G86" i="84"/>
  <c r="H73" i="65"/>
  <c r="H74" i="65" s="1"/>
  <c r="G125" i="70"/>
  <c r="G133" i="70"/>
  <c r="I14" i="91" s="1"/>
  <c r="G129" i="70"/>
  <c r="I8" i="91" s="1"/>
  <c r="G121" i="70"/>
  <c r="G132" i="70"/>
  <c r="I13" i="91" s="1"/>
  <c r="G124" i="70"/>
  <c r="G120" i="70"/>
  <c r="G128" i="70"/>
  <c r="I7" i="91" s="1"/>
  <c r="G131" i="70"/>
  <c r="I10" i="91" s="1"/>
  <c r="G123" i="70"/>
  <c r="G130" i="70"/>
  <c r="I9" i="91" s="1"/>
  <c r="G122" i="70"/>
  <c r="I53" i="65"/>
  <c r="I71" i="65" s="1"/>
  <c r="I69" i="65"/>
  <c r="L42" i="65" l="1"/>
  <c r="L45" i="65" s="1"/>
  <c r="M40" i="65" s="1"/>
  <c r="M43" i="65" s="1"/>
  <c r="I60" i="65"/>
  <c r="I63" i="65" s="1"/>
  <c r="G94" i="84"/>
  <c r="G100" i="84"/>
  <c r="I17" i="91" s="1"/>
  <c r="H105" i="65"/>
  <c r="G101" i="84"/>
  <c r="I18" i="91" s="1"/>
  <c r="G95" i="84"/>
  <c r="G102" i="84"/>
  <c r="I19" i="91" s="1"/>
  <c r="G96" i="84"/>
  <c r="G97" i="84"/>
  <c r="G103" i="84"/>
  <c r="I20" i="91" s="1"/>
  <c r="D7" i="59"/>
  <c r="D8" i="59"/>
  <c r="D9" i="59"/>
  <c r="D11" i="59"/>
  <c r="D10" i="59"/>
  <c r="B56" i="81"/>
  <c r="L36" i="65" l="1"/>
  <c r="L37" i="65" s="1"/>
  <c r="M33" i="65" s="1"/>
  <c r="I54" i="65"/>
  <c r="B58" i="81"/>
  <c r="B55" i="81"/>
  <c r="B59" i="81"/>
  <c r="M35" i="65" l="1"/>
  <c r="J58" i="65"/>
  <c r="I72" i="65"/>
  <c r="I120" i="65" s="1"/>
  <c r="I55" i="65"/>
  <c r="B61" i="81"/>
  <c r="B62" i="81"/>
  <c r="B64" i="81"/>
  <c r="M42" i="65" l="1"/>
  <c r="M45" i="65" s="1"/>
  <c r="N40" i="65" s="1"/>
  <c r="N43" i="65" s="1"/>
  <c r="J51" i="65"/>
  <c r="I73" i="65"/>
  <c r="J61" i="65"/>
  <c r="B65" i="81"/>
  <c r="M36" i="65" l="1"/>
  <c r="M37" i="65" s="1"/>
  <c r="N33" i="65" s="1"/>
  <c r="I74" i="65"/>
  <c r="I105" i="65"/>
  <c r="J53" i="65"/>
  <c r="J71" i="65" s="1"/>
  <c r="J69" i="65"/>
  <c r="N35" i="65" l="1"/>
  <c r="N42" i="65" s="1"/>
  <c r="N45" i="65" s="1"/>
  <c r="J60" i="65"/>
  <c r="J63" i="65" s="1"/>
  <c r="J54" i="65" l="1"/>
  <c r="J55" i="65" s="1"/>
  <c r="N36" i="65"/>
  <c r="N37" i="65" s="1"/>
  <c r="K58" i="65"/>
  <c r="J72" i="65" l="1"/>
  <c r="J120" i="65" s="1"/>
  <c r="J73" i="65"/>
  <c r="K51" i="65"/>
  <c r="K61" i="65"/>
  <c r="J74" i="65" l="1"/>
  <c r="J105" i="65"/>
  <c r="K53" i="65"/>
  <c r="K71" i="65" s="1"/>
  <c r="K69" i="65"/>
  <c r="K60" i="65" l="1"/>
  <c r="K63" i="65" s="1"/>
  <c r="K54" i="65" l="1"/>
  <c r="K72" i="65" l="1"/>
  <c r="K120" i="65" s="1"/>
  <c r="K55" i="65"/>
  <c r="L58" i="65"/>
  <c r="K73" i="65" l="1"/>
  <c r="L51" i="65"/>
  <c r="L61" i="65"/>
  <c r="L69" i="65" l="1"/>
  <c r="L53" i="65"/>
  <c r="L71" i="65" s="1"/>
  <c r="K74" i="65"/>
  <c r="K105" i="65"/>
  <c r="L60" i="65" l="1"/>
  <c r="L63" i="65" s="1"/>
  <c r="L54" i="65" l="1"/>
  <c r="L72" i="65" s="1"/>
  <c r="L120" i="65" s="1"/>
  <c r="M58" i="65"/>
  <c r="L55" i="65" l="1"/>
  <c r="M51" i="65" s="1"/>
  <c r="M61" i="65"/>
  <c r="L73" i="65" l="1"/>
  <c r="L74" i="65" s="1"/>
  <c r="M53" i="65"/>
  <c r="M71" i="65" s="1"/>
  <c r="M69" i="65"/>
  <c r="L105" i="65" l="1"/>
  <c r="M60" i="65"/>
  <c r="M63" i="65" s="1"/>
  <c r="M54" i="65" l="1"/>
  <c r="M72" i="65" s="1"/>
  <c r="M120" i="65" s="1"/>
  <c r="N58" i="65"/>
  <c r="M55" i="65" l="1"/>
  <c r="N51" i="65" s="1"/>
  <c r="N61" i="65"/>
  <c r="M73" i="65" l="1"/>
  <c r="M74" i="65" s="1"/>
  <c r="N69" i="65"/>
  <c r="N53" i="65"/>
  <c r="N71" i="65" s="1"/>
  <c r="M105" i="65" l="1"/>
  <c r="N60" i="65"/>
  <c r="N63" i="65" s="1"/>
  <c r="N54" i="65" l="1"/>
  <c r="N55" i="65" s="1"/>
  <c r="N73" i="65" s="1"/>
  <c r="N72" i="65" l="1"/>
  <c r="N120" i="65" s="1"/>
  <c r="N105" i="65"/>
  <c r="N74" i="65" l="1"/>
  <c r="D9" i="83"/>
  <c r="D37" i="83" s="1"/>
  <c r="E37" i="83" s="1"/>
  <c r="F37" i="83" s="1"/>
  <c r="G37" i="83" s="1"/>
  <c r="D15" i="83"/>
  <c r="D45" i="83" s="1"/>
  <c r="E45" i="83" s="1"/>
  <c r="J45" i="83" l="1"/>
  <c r="G45" i="83"/>
  <c r="I45" i="83"/>
  <c r="F45" i="83"/>
  <c r="H45" i="83"/>
  <c r="H37" i="83"/>
  <c r="I37" i="83" l="1"/>
  <c r="J37" i="83" l="1"/>
  <c r="K37" i="83" l="1"/>
  <c r="L37" i="83" l="1"/>
  <c r="A8" i="81" l="1"/>
  <c r="A9" i="81"/>
  <c r="A10" i="81"/>
  <c r="A11" i="81"/>
  <c r="G10" i="81" l="1"/>
  <c r="I10" i="81" l="1"/>
  <c r="H10" i="81"/>
  <c r="E10" i="81"/>
  <c r="F10" i="81"/>
  <c r="J10" i="81" l="1"/>
  <c r="G9" i="81" l="1"/>
  <c r="G11" i="82"/>
  <c r="K10" i="81"/>
  <c r="I9" i="81" l="1"/>
  <c r="I11" i="82"/>
  <c r="H9" i="81"/>
  <c r="H11" i="82"/>
  <c r="F9" i="81"/>
  <c r="F11" i="82"/>
  <c r="L10" i="81"/>
  <c r="J9" i="81" l="1"/>
  <c r="J11" i="82"/>
  <c r="E9" i="81"/>
  <c r="E11" i="82"/>
  <c r="K9" i="81" l="1"/>
  <c r="K11" i="82"/>
  <c r="L9" i="81" l="1"/>
  <c r="L11" i="82"/>
  <c r="F22" i="82" l="1"/>
  <c r="F29" i="82" s="1"/>
  <c r="G22" i="82"/>
  <c r="G29" i="82" s="1"/>
  <c r="H22" i="82"/>
  <c r="H29" i="82" s="1"/>
  <c r="I22" i="82"/>
  <c r="I29" i="82" s="1"/>
  <c r="J22" i="82"/>
  <c r="J29" i="82" s="1"/>
  <c r="K22" i="82"/>
  <c r="K29" i="82" s="1"/>
  <c r="L22" i="82"/>
  <c r="L29" i="82" s="1"/>
  <c r="E22" i="82"/>
  <c r="L13" i="59"/>
  <c r="E29" i="82" l="1"/>
  <c r="L43" i="59"/>
  <c r="L52" i="59"/>
  <c r="L33" i="59"/>
  <c r="L23" i="59"/>
  <c r="G90" i="65" l="1"/>
  <c r="G119" i="65" s="1"/>
  <c r="I89" i="65"/>
  <c r="I118" i="65" s="1"/>
  <c r="K89" i="65"/>
  <c r="K118" i="65" s="1"/>
  <c r="H89" i="65"/>
  <c r="H118" i="65" s="1"/>
  <c r="J89" i="65"/>
  <c r="J118" i="65" s="1"/>
  <c r="L89" i="65"/>
  <c r="L118" i="65" s="1"/>
  <c r="J96" i="65" l="1"/>
  <c r="J125" i="65" s="1"/>
  <c r="L96" i="65"/>
  <c r="L125" i="65" s="1"/>
  <c r="I96" i="65"/>
  <c r="I125" i="65" s="1"/>
  <c r="K96" i="65"/>
  <c r="K125" i="65" s="1"/>
  <c r="H96" i="65"/>
  <c r="H125" i="65" s="1"/>
  <c r="G96" i="65"/>
  <c r="G125" i="65" l="1"/>
  <c r="M89" i="65"/>
  <c r="M118" i="65" s="1"/>
  <c r="N89" i="65"/>
  <c r="N118" i="65" s="1"/>
  <c r="N96" i="65" l="1"/>
  <c r="N125" i="65" s="1"/>
  <c r="M96" i="65"/>
  <c r="M125" i="65" s="1"/>
  <c r="F5" i="82" l="1"/>
  <c r="H5" i="65"/>
  <c r="J5" i="82"/>
  <c r="L5" i="65"/>
  <c r="F5" i="65"/>
  <c r="D5" i="82"/>
  <c r="L5" i="82"/>
  <c r="N5" i="65"/>
  <c r="I5" i="82"/>
  <c r="K5" i="65"/>
  <c r="H5" i="82"/>
  <c r="J5" i="65"/>
  <c r="E5" i="82"/>
  <c r="G5" i="65"/>
  <c r="K5" i="82"/>
  <c r="M5" i="65"/>
  <c r="G5" i="82"/>
  <c r="I5" i="65"/>
  <c r="D13" i="59" l="1"/>
  <c r="L18" i="59"/>
  <c r="L51" i="69" s="1"/>
  <c r="L19" i="59"/>
  <c r="L52" i="69" s="1"/>
  <c r="L17" i="59"/>
  <c r="L50" i="69" s="1"/>
  <c r="L15" i="59"/>
  <c r="L16" i="59"/>
  <c r="L49" i="69" s="1"/>
  <c r="E13" i="59"/>
  <c r="L14" i="59" l="1"/>
  <c r="L48" i="69"/>
  <c r="L47" i="69"/>
  <c r="D52" i="59"/>
  <c r="D23" i="59"/>
  <c r="D43" i="59"/>
  <c r="D33" i="59"/>
  <c r="E23" i="59"/>
  <c r="E33" i="59"/>
  <c r="E52" i="59"/>
  <c r="E43" i="59"/>
  <c r="F13" i="59"/>
  <c r="F33" i="59" l="1"/>
  <c r="F43" i="59"/>
  <c r="F23" i="59"/>
  <c r="F52" i="59"/>
  <c r="G13" i="59"/>
  <c r="G23" i="59" l="1"/>
  <c r="G52" i="59"/>
  <c r="G43" i="59"/>
  <c r="G33" i="59"/>
  <c r="H13" i="59"/>
  <c r="I13" i="59"/>
  <c r="I33" i="59" l="1"/>
  <c r="I43" i="59"/>
  <c r="I52" i="59"/>
  <c r="I23" i="59"/>
  <c r="H23" i="59"/>
  <c r="H52" i="59"/>
  <c r="H33" i="59"/>
  <c r="H43" i="59"/>
  <c r="J13" i="59"/>
  <c r="J33" i="59" l="1"/>
  <c r="J43" i="59"/>
  <c r="J52" i="59"/>
  <c r="J23" i="59"/>
  <c r="K13" i="59"/>
  <c r="K33" i="59" l="1"/>
  <c r="K23" i="59"/>
  <c r="K52" i="59"/>
  <c r="K43" i="59"/>
  <c r="G92" i="65" l="1"/>
  <c r="H88" i="65" l="1"/>
  <c r="G121" i="65"/>
  <c r="G122" i="65" s="1"/>
  <c r="G111" i="65"/>
  <c r="G97" i="65"/>
  <c r="G114" i="65" l="1"/>
  <c r="E62" i="69" s="1"/>
  <c r="H90" i="65"/>
  <c r="H119" i="65" s="1"/>
  <c r="H117" i="65"/>
  <c r="H92" i="65"/>
  <c r="H121" i="65" s="1"/>
  <c r="H122" i="65" l="1"/>
  <c r="I88" i="65"/>
  <c r="I117" i="65" s="1"/>
  <c r="H97" i="65"/>
  <c r="H114" i="65" s="1"/>
  <c r="F62" i="69" s="1"/>
  <c r="H111" i="65"/>
  <c r="I90" i="65" l="1"/>
  <c r="I92" i="65" s="1"/>
  <c r="J88" i="65" s="1"/>
  <c r="I119" i="65" l="1"/>
  <c r="J117" i="65"/>
  <c r="I121" i="65"/>
  <c r="I111" i="65"/>
  <c r="I97" i="65"/>
  <c r="J90" i="65"/>
  <c r="J119" i="65" s="1"/>
  <c r="I122" i="65" l="1"/>
  <c r="I114" i="65"/>
  <c r="G62" i="69" s="1"/>
  <c r="J92" i="65"/>
  <c r="J121" i="65" l="1"/>
  <c r="J111" i="65"/>
  <c r="K88" i="65"/>
  <c r="J97" i="65"/>
  <c r="J114" i="65" l="1"/>
  <c r="H62" i="69" s="1"/>
  <c r="K117" i="65"/>
  <c r="K90" i="65"/>
  <c r="K119" i="65" s="1"/>
  <c r="J122" i="65"/>
  <c r="K92" i="65" l="1"/>
  <c r="K121" i="65" l="1"/>
  <c r="K111" i="65"/>
  <c r="L88" i="65"/>
  <c r="K97" i="65"/>
  <c r="L117" i="65" l="1"/>
  <c r="K114" i="65"/>
  <c r="I62" i="69" s="1"/>
  <c r="K122" i="65"/>
  <c r="L90" i="65"/>
  <c r="L119" i="65" s="1"/>
  <c r="L92" i="65" l="1"/>
  <c r="L97" i="65" s="1"/>
  <c r="L114" i="65" l="1"/>
  <c r="J62" i="69" s="1"/>
  <c r="M88" i="65"/>
  <c r="M90" i="65" s="1"/>
  <c r="M119" i="65" s="1"/>
  <c r="L121" i="65"/>
  <c r="L122" i="65" s="1"/>
  <c r="L111" i="65"/>
  <c r="M117" i="65" l="1"/>
  <c r="M92" i="65"/>
  <c r="M121" i="65" s="1"/>
  <c r="M111" i="65" l="1"/>
  <c r="M97" i="65"/>
  <c r="N88" i="65"/>
  <c r="N117" i="65" l="1"/>
  <c r="M114" i="65"/>
  <c r="K62" i="69" s="1"/>
  <c r="N90" i="65"/>
  <c r="N119" i="65" s="1"/>
  <c r="M122" i="65"/>
  <c r="N92" i="65" l="1"/>
  <c r="N121" i="65" s="1"/>
  <c r="N122" i="65" s="1"/>
  <c r="N97" i="65"/>
  <c r="N111" i="65" l="1"/>
  <c r="N114" i="65"/>
  <c r="L62" i="69" s="1"/>
  <c r="J36" i="70" l="1"/>
  <c r="K36" i="70"/>
  <c r="G36" i="70"/>
  <c r="E36" i="70"/>
  <c r="H36" i="70"/>
  <c r="F36" i="70"/>
  <c r="D36" i="70"/>
  <c r="I36" i="70"/>
  <c r="L36" i="70"/>
  <c r="F24" i="65" l="1"/>
  <c r="E30" i="65" l="1"/>
  <c r="F78" i="65"/>
  <c r="F98" i="65"/>
  <c r="F126" i="65" l="1"/>
  <c r="F109" i="65"/>
  <c r="D61" i="69" s="1"/>
  <c r="D77" i="69" s="1"/>
  <c r="D78" i="69" s="1"/>
  <c r="D70" i="69"/>
  <c r="F25" i="65"/>
  <c r="F79" i="65" s="1"/>
  <c r="D69" i="69" s="1"/>
  <c r="F95" i="65"/>
  <c r="F22" i="65"/>
  <c r="F76" i="65" s="1"/>
  <c r="F127" i="65" l="1"/>
  <c r="F124" i="65"/>
  <c r="F27" i="65" l="1"/>
  <c r="F100" i="65"/>
  <c r="G95" i="65" l="1"/>
  <c r="F113" i="65"/>
  <c r="D88" i="69" s="1"/>
  <c r="F28" i="65"/>
  <c r="G22" i="65"/>
  <c r="F81" i="65"/>
  <c r="F129" i="65" s="1"/>
  <c r="F130" i="65" s="1"/>
  <c r="F82" i="65" l="1"/>
  <c r="F107" i="65"/>
  <c r="D87" i="69" s="1"/>
  <c r="G98" i="65"/>
  <c r="G100" i="65" s="1"/>
  <c r="G25" i="65"/>
  <c r="G76" i="65"/>
  <c r="G113" i="65" l="1"/>
  <c r="E88" i="69" s="1"/>
  <c r="H95" i="65"/>
  <c r="E70" i="69"/>
  <c r="D95" i="69"/>
  <c r="D96" i="69" s="1"/>
  <c r="G124" i="65"/>
  <c r="G79" i="65"/>
  <c r="E69" i="69" s="1"/>
  <c r="G24" i="65"/>
  <c r="G127" i="65" l="1"/>
  <c r="H98" i="65"/>
  <c r="H100" i="65" s="1"/>
  <c r="H113" i="65" s="1"/>
  <c r="F88" i="69" s="1"/>
  <c r="G78" i="65"/>
  <c r="G27" i="65"/>
  <c r="I95" i="65" l="1"/>
  <c r="F70" i="69"/>
  <c r="G81" i="65"/>
  <c r="H22" i="65"/>
  <c r="G109" i="65"/>
  <c r="E61" i="69" s="1"/>
  <c r="G126" i="65"/>
  <c r="H76" i="65" l="1"/>
  <c r="H25" i="65"/>
  <c r="G82" i="65"/>
  <c r="G107" i="65"/>
  <c r="E87" i="69" s="1"/>
  <c r="G129" i="65"/>
  <c r="G130" i="65" s="1"/>
  <c r="I98" i="65"/>
  <c r="I100" i="65" s="1"/>
  <c r="I113" i="65" s="1"/>
  <c r="G88" i="69" s="1"/>
  <c r="H79" i="65" l="1"/>
  <c r="H24" i="65"/>
  <c r="H124" i="65"/>
  <c r="G70" i="69"/>
  <c r="J95" i="65"/>
  <c r="J98" i="65" l="1"/>
  <c r="J100" i="65" s="1"/>
  <c r="J113" i="65" s="1"/>
  <c r="H88" i="69" s="1"/>
  <c r="H78" i="65"/>
  <c r="H27" i="65"/>
  <c r="F69" i="69"/>
  <c r="H127" i="65"/>
  <c r="H70" i="69" l="1"/>
  <c r="K95" i="65"/>
  <c r="I22" i="65"/>
  <c r="H81" i="65"/>
  <c r="H109" i="65"/>
  <c r="F61" i="69" s="1"/>
  <c r="H126" i="65"/>
  <c r="H82" i="65" l="1"/>
  <c r="H129" i="65"/>
  <c r="H130" i="65" s="1"/>
  <c r="H107" i="65"/>
  <c r="F87" i="69" s="1"/>
  <c r="K98" i="65"/>
  <c r="I25" i="65"/>
  <c r="I76" i="65"/>
  <c r="I124" i="65" l="1"/>
  <c r="I70" i="69"/>
  <c r="I79" i="65"/>
  <c r="I24" i="65"/>
  <c r="K100" i="65"/>
  <c r="G69" i="69" l="1"/>
  <c r="I127" i="65"/>
  <c r="I78" i="65"/>
  <c r="I27" i="65"/>
  <c r="L95" i="65"/>
  <c r="K113" i="65"/>
  <c r="I88" i="69" s="1"/>
  <c r="L98" i="65" l="1"/>
  <c r="I81" i="65"/>
  <c r="J22" i="65"/>
  <c r="I109" i="65"/>
  <c r="G61" i="69" s="1"/>
  <c r="I126" i="65"/>
  <c r="J70" i="69" l="1"/>
  <c r="J76" i="65"/>
  <c r="J25" i="65"/>
  <c r="I82" i="65"/>
  <c r="I129" i="65"/>
  <c r="I130" i="65" s="1"/>
  <c r="I107" i="65"/>
  <c r="G87" i="69" s="1"/>
  <c r="L100" i="65"/>
  <c r="J79" i="65" l="1"/>
  <c r="J24" i="65"/>
  <c r="J124" i="65"/>
  <c r="M95" i="65"/>
  <c r="L113" i="65"/>
  <c r="J88" i="69" s="1"/>
  <c r="M98" i="65" l="1"/>
  <c r="M100" i="65" s="1"/>
  <c r="M113" i="65" s="1"/>
  <c r="K88" i="69" s="1"/>
  <c r="H69" i="69"/>
  <c r="J127" i="65"/>
  <c r="J78" i="65"/>
  <c r="J27" i="65"/>
  <c r="J81" i="65" l="1"/>
  <c r="K22" i="65"/>
  <c r="K70" i="69"/>
  <c r="J109" i="65"/>
  <c r="H61" i="69" s="1"/>
  <c r="J126" i="65"/>
  <c r="N95" i="65"/>
  <c r="N98" i="65" l="1"/>
  <c r="N100" i="65" s="1"/>
  <c r="N113" i="65" s="1"/>
  <c r="L88" i="69" s="1"/>
  <c r="K76" i="65"/>
  <c r="K25" i="65"/>
  <c r="J82" i="65"/>
  <c r="J129" i="65"/>
  <c r="J130" i="65" s="1"/>
  <c r="J107" i="65"/>
  <c r="H87" i="69" s="1"/>
  <c r="L70" i="69" l="1"/>
  <c r="K79" i="65"/>
  <c r="K24" i="65"/>
  <c r="K124" i="65"/>
  <c r="K78" i="65" l="1"/>
  <c r="K27" i="65"/>
  <c r="I69" i="69"/>
  <c r="K127" i="65"/>
  <c r="K81" i="65" l="1"/>
  <c r="L22" i="65"/>
  <c r="K109" i="65"/>
  <c r="I61" i="69" s="1"/>
  <c r="K126" i="65"/>
  <c r="L25" i="65" l="1"/>
  <c r="L76" i="65"/>
  <c r="K82" i="65"/>
  <c r="K129" i="65"/>
  <c r="K130" i="65" s="1"/>
  <c r="K107" i="65"/>
  <c r="I87" i="69" s="1"/>
  <c r="L124" i="65" l="1"/>
  <c r="L79" i="65"/>
  <c r="L24" i="65"/>
  <c r="L78" i="65" l="1"/>
  <c r="L27" i="65"/>
  <c r="J69" i="69"/>
  <c r="L127" i="65"/>
  <c r="L81" i="65" l="1"/>
  <c r="M22" i="65"/>
  <c r="L109" i="65"/>
  <c r="J61" i="69" s="1"/>
  <c r="L126" i="65"/>
  <c r="L82" i="65" l="1"/>
  <c r="L129" i="65"/>
  <c r="L130" i="65" s="1"/>
  <c r="L107" i="65"/>
  <c r="J87" i="69" s="1"/>
  <c r="M76" i="65"/>
  <c r="M25" i="65"/>
  <c r="M79" i="65" l="1"/>
  <c r="M24" i="65"/>
  <c r="M124" i="65"/>
  <c r="K69" i="69" l="1"/>
  <c r="M127" i="65"/>
  <c r="M78" i="65"/>
  <c r="M27" i="65"/>
  <c r="M109" i="65" l="1"/>
  <c r="K61" i="69" s="1"/>
  <c r="M126" i="65"/>
  <c r="N22" i="65"/>
  <c r="M81" i="65"/>
  <c r="N76" i="65" l="1"/>
  <c r="N25" i="65"/>
  <c r="M82" i="65"/>
  <c r="M129" i="65"/>
  <c r="M130" i="65" s="1"/>
  <c r="M107" i="65"/>
  <c r="K87" i="69" s="1"/>
  <c r="N79" i="65" l="1"/>
  <c r="N24" i="65"/>
  <c r="N124" i="65"/>
  <c r="N78" i="65" l="1"/>
  <c r="N27" i="65"/>
  <c r="N81" i="65" s="1"/>
  <c r="L69" i="69"/>
  <c r="N127" i="65"/>
  <c r="N82" i="65" l="1"/>
  <c r="N129" i="65"/>
  <c r="N107" i="65"/>
  <c r="L87" i="69" s="1"/>
  <c r="N126" i="65"/>
  <c r="N109" i="65"/>
  <c r="L61" i="69" s="1"/>
  <c r="N130" i="65" l="1"/>
  <c r="D17" i="69" l="1"/>
  <c r="D98" i="69" s="1"/>
  <c r="D16" i="83"/>
  <c r="D46" i="83" s="1"/>
  <c r="D99" i="69" l="1"/>
  <c r="D100" i="69" s="1"/>
  <c r="L49" i="70" l="1"/>
  <c r="J49" i="70"/>
  <c r="I49" i="70"/>
  <c r="D49" i="70"/>
  <c r="E49" i="70"/>
  <c r="F49" i="70"/>
  <c r="G49" i="70"/>
  <c r="K49" i="70"/>
  <c r="H49" i="70"/>
  <c r="J53" i="70"/>
  <c r="I53" i="70"/>
  <c r="H53" i="70"/>
  <c r="K53" i="70"/>
  <c r="E53" i="70"/>
  <c r="G53" i="70"/>
  <c r="D53" i="70"/>
  <c r="L53" i="70"/>
  <c r="F53" i="70"/>
  <c r="K50" i="70"/>
  <c r="G50" i="70"/>
  <c r="F50" i="70"/>
  <c r="J50" i="70"/>
  <c r="E50" i="70"/>
  <c r="D50" i="70"/>
  <c r="I50" i="70"/>
  <c r="L50" i="70"/>
  <c r="H50" i="70"/>
  <c r="D30" i="69" l="1"/>
  <c r="D31" i="69"/>
  <c r="D32" i="69"/>
  <c r="D33" i="69"/>
  <c r="D34" i="69"/>
  <c r="D29" i="69"/>
  <c r="D35" i="69" l="1"/>
  <c r="D6" i="59" l="1"/>
  <c r="D14" i="83" l="1"/>
  <c r="D44" i="83" s="1"/>
  <c r="D8" i="83"/>
  <c r="D36" i="83" s="1"/>
  <c r="E36" i="83" s="1"/>
  <c r="F36" i="83" s="1"/>
  <c r="G36" i="83" s="1"/>
  <c r="H36" i="83" s="1"/>
  <c r="I36" i="83" s="1"/>
  <c r="J36" i="83" s="1"/>
  <c r="K36" i="83" s="1"/>
  <c r="L36" i="83" s="1"/>
  <c r="D7" i="83"/>
  <c r="D35" i="83" s="1"/>
  <c r="D6" i="83"/>
  <c r="D34" i="83" s="1"/>
  <c r="D13" i="83" l="1"/>
  <c r="D43" i="83" s="1"/>
  <c r="D48" i="83" s="1"/>
  <c r="D53" i="83" s="1"/>
  <c r="D6" i="84" s="1"/>
  <c r="E171" i="94"/>
  <c r="D17" i="83" s="1"/>
  <c r="D18" i="83" s="1"/>
  <c r="I44" i="83"/>
  <c r="J44" i="83"/>
  <c r="E44" i="83"/>
  <c r="H44" i="83"/>
  <c r="G44" i="83"/>
  <c r="F44" i="83"/>
  <c r="K44" i="83"/>
  <c r="L44" i="83"/>
  <c r="E165" i="94"/>
  <c r="D31" i="82"/>
  <c r="D41" i="82" s="1"/>
  <c r="D32" i="82" l="1"/>
  <c r="D21" i="82"/>
  <c r="D25" i="82"/>
  <c r="D28" i="82"/>
  <c r="D30" i="82" s="1"/>
  <c r="D42" i="82" s="1"/>
  <c r="D39" i="82" l="1"/>
  <c r="E21" i="82"/>
  <c r="E23" i="82" s="1"/>
  <c r="E25" i="82" s="1"/>
  <c r="D40" i="82"/>
  <c r="E28" i="82"/>
  <c r="D29" i="82"/>
  <c r="D33" i="82" s="1"/>
  <c r="E30" i="82" l="1"/>
  <c r="E42" i="82" s="1"/>
  <c r="E35" i="83" s="1"/>
  <c r="F21" i="82"/>
  <c r="F23" i="82" s="1"/>
  <c r="F25" i="82" s="1"/>
  <c r="E39" i="82"/>
  <c r="E31" i="82"/>
  <c r="E41" i="82" s="1"/>
  <c r="E34" i="83" s="1"/>
  <c r="E26" i="82"/>
  <c r="G21" i="82" l="1"/>
  <c r="G23" i="82" s="1"/>
  <c r="G25" i="82" s="1"/>
  <c r="F31" i="82"/>
  <c r="F41" i="82" s="1"/>
  <c r="F34" i="83" s="1"/>
  <c r="F39" i="82"/>
  <c r="F26" i="82"/>
  <c r="E32" i="82"/>
  <c r="E33" i="82" l="1"/>
  <c r="F28" i="82"/>
  <c r="E40" i="82"/>
  <c r="E43" i="83" s="1"/>
  <c r="G31" i="82"/>
  <c r="G41" i="82" s="1"/>
  <c r="G34" i="83" s="1"/>
  <c r="G39" i="82"/>
  <c r="G26" i="82"/>
  <c r="H21" i="82"/>
  <c r="H23" i="82" s="1"/>
  <c r="H25" i="82" s="1"/>
  <c r="H39" i="82" l="1"/>
  <c r="H31" i="82"/>
  <c r="H41" i="82" s="1"/>
  <c r="H34" i="83" s="1"/>
  <c r="I21" i="82"/>
  <c r="I23" i="82" s="1"/>
  <c r="I25" i="82" s="1"/>
  <c r="H26" i="82"/>
  <c r="F30" i="82"/>
  <c r="F42" i="82" s="1"/>
  <c r="F35" i="83" s="1"/>
  <c r="F32" i="82"/>
  <c r="G28" i="82" l="1"/>
  <c r="F40" i="82"/>
  <c r="F43" i="83" s="1"/>
  <c r="F33" i="82"/>
  <c r="I31" i="82"/>
  <c r="I41" i="82" s="1"/>
  <c r="I34" i="83" s="1"/>
  <c r="I39" i="82"/>
  <c r="I26" i="82"/>
  <c r="J21" i="82"/>
  <c r="J23" i="82" s="1"/>
  <c r="J25" i="82" s="1"/>
  <c r="J26" i="82" l="1"/>
  <c r="J31" i="82"/>
  <c r="J41" i="82" s="1"/>
  <c r="J34" i="83" s="1"/>
  <c r="K21" i="82"/>
  <c r="K23" i="82" s="1"/>
  <c r="K25" i="82" s="1"/>
  <c r="J39" i="82"/>
  <c r="G30" i="82"/>
  <c r="G42" i="82" s="1"/>
  <c r="G35" i="83" s="1"/>
  <c r="D15" i="69"/>
  <c r="D90" i="69" s="1"/>
  <c r="D7" i="69"/>
  <c r="D9" i="69"/>
  <c r="D72" i="69" s="1"/>
  <c r="D8" i="69"/>
  <c r="G32" i="82" l="1"/>
  <c r="L21" i="82"/>
  <c r="L23" i="82" s="1"/>
  <c r="L25" i="82" s="1"/>
  <c r="K26" i="82"/>
  <c r="K39" i="82"/>
  <c r="K31" i="82"/>
  <c r="K41" i="82" s="1"/>
  <c r="K34" i="83" s="1"/>
  <c r="D73" i="69"/>
  <c r="D74" i="69" s="1"/>
  <c r="E54" i="94"/>
  <c r="D18" i="69" s="1"/>
  <c r="D14" i="69"/>
  <c r="D6" i="69"/>
  <c r="E47" i="94"/>
  <c r="D5" i="83"/>
  <c r="G90" i="69"/>
  <c r="F90" i="69"/>
  <c r="E90" i="69"/>
  <c r="I90" i="69"/>
  <c r="L90" i="69"/>
  <c r="J90" i="69"/>
  <c r="K90" i="69"/>
  <c r="H90" i="69"/>
  <c r="D102" i="69"/>
  <c r="D91" i="69"/>
  <c r="D8" i="81"/>
  <c r="D64" i="69" l="1"/>
  <c r="D11" i="69"/>
  <c r="H91" i="69"/>
  <c r="D19" i="69"/>
  <c r="K91" i="69"/>
  <c r="D10" i="83"/>
  <c r="D11" i="83" s="1"/>
  <c r="D33" i="83"/>
  <c r="D39" i="83" s="1"/>
  <c r="D52" i="83" s="1"/>
  <c r="D5" i="84" s="1"/>
  <c r="D25" i="84" s="1"/>
  <c r="J91" i="69"/>
  <c r="L91" i="69"/>
  <c r="I91" i="69"/>
  <c r="E91" i="69"/>
  <c r="F91" i="69"/>
  <c r="L39" i="82"/>
  <c r="L26" i="82"/>
  <c r="L31" i="82"/>
  <c r="L41" i="82" s="1"/>
  <c r="L34" i="83" s="1"/>
  <c r="D92" i="69"/>
  <c r="D104" i="69" s="1"/>
  <c r="D143" i="69" s="1"/>
  <c r="D103" i="69"/>
  <c r="D121" i="69" s="1"/>
  <c r="G91" i="69"/>
  <c r="H28" i="82"/>
  <c r="G33" i="82"/>
  <c r="G40" i="82"/>
  <c r="G43" i="83" s="1"/>
  <c r="J92" i="69" l="1"/>
  <c r="L92" i="69"/>
  <c r="D28" i="84"/>
  <c r="D27" i="84"/>
  <c r="D29" i="84"/>
  <c r="E92" i="69"/>
  <c r="K92" i="69"/>
  <c r="H30" i="82"/>
  <c r="H42" i="82" s="1"/>
  <c r="H35" i="83" s="1"/>
  <c r="G92" i="69"/>
  <c r="I92" i="69"/>
  <c r="H92" i="69"/>
  <c r="F92" i="69"/>
  <c r="D126" i="69"/>
  <c r="D128" i="69"/>
  <c r="D123" i="69"/>
  <c r="D124" i="69"/>
  <c r="D125" i="69"/>
  <c r="D127" i="69"/>
  <c r="D105" i="69"/>
  <c r="D12" i="69"/>
  <c r="D65" i="69"/>
  <c r="D66" i="69" s="1"/>
  <c r="D82" i="69" s="1"/>
  <c r="D132" i="69" s="1"/>
  <c r="D30" i="84" l="1"/>
  <c r="D45" i="84"/>
  <c r="D81" i="69"/>
  <c r="D110" i="69" s="1"/>
  <c r="D80" i="69"/>
  <c r="D129" i="69"/>
  <c r="D130" i="69" s="1"/>
  <c r="H32" i="82"/>
  <c r="D83" i="69" l="1"/>
  <c r="I28" i="82"/>
  <c r="H40" i="82"/>
  <c r="H43" i="83" s="1"/>
  <c r="H33" i="82"/>
  <c r="D31" i="84"/>
  <c r="D117" i="69"/>
  <c r="D112" i="69"/>
  <c r="D113" i="69"/>
  <c r="D114" i="69"/>
  <c r="D116" i="69"/>
  <c r="D115" i="69"/>
  <c r="D118" i="69" l="1"/>
  <c r="D119" i="69" s="1"/>
  <c r="I30" i="82"/>
  <c r="I42" i="82" s="1"/>
  <c r="I35" i="83" s="1"/>
  <c r="D17" i="59"/>
  <c r="D50" i="69" l="1"/>
  <c r="D27" i="59"/>
  <c r="I32" i="82"/>
  <c r="D19" i="59"/>
  <c r="D18" i="59"/>
  <c r="E17" i="59"/>
  <c r="E50" i="69" s="1"/>
  <c r="D28" i="59" l="1"/>
  <c r="D51" i="69"/>
  <c r="D29" i="59"/>
  <c r="D52" i="69"/>
  <c r="J28" i="82"/>
  <c r="I33" i="82"/>
  <c r="I40" i="82"/>
  <c r="I43" i="83" s="1"/>
  <c r="D26" i="70"/>
  <c r="D47" i="59"/>
  <c r="E27" i="59"/>
  <c r="E19" i="59"/>
  <c r="E52" i="69" s="1"/>
  <c r="D15" i="59"/>
  <c r="D16" i="59"/>
  <c r="F17" i="59"/>
  <c r="F50" i="69" s="1"/>
  <c r="E18" i="59"/>
  <c r="E51" i="69" s="1"/>
  <c r="J30" i="82" l="1"/>
  <c r="J42" i="82" s="1"/>
  <c r="J35" i="83" s="1"/>
  <c r="E26" i="70"/>
  <c r="F27" i="59"/>
  <c r="E47" i="59"/>
  <c r="D14" i="59"/>
  <c r="D24" i="59" s="1"/>
  <c r="D25" i="59"/>
  <c r="D47" i="69"/>
  <c r="D48" i="69"/>
  <c r="E29" i="59"/>
  <c r="D28" i="70"/>
  <c r="D49" i="59"/>
  <c r="D26" i="59"/>
  <c r="D49" i="69"/>
  <c r="D48" i="59"/>
  <c r="E28" i="59"/>
  <c r="D27" i="70"/>
  <c r="F19" i="59"/>
  <c r="F52" i="69" s="1"/>
  <c r="E15" i="59"/>
  <c r="F18" i="59"/>
  <c r="F51" i="69" s="1"/>
  <c r="E16" i="59"/>
  <c r="E49" i="69" s="1"/>
  <c r="J32" i="82" l="1"/>
  <c r="K28" i="82" s="1"/>
  <c r="E49" i="59"/>
  <c r="F29" i="59"/>
  <c r="E28" i="70"/>
  <c r="E48" i="69"/>
  <c r="E14" i="59"/>
  <c r="E24" i="59" s="1"/>
  <c r="E47" i="69"/>
  <c r="E48" i="59"/>
  <c r="E27" i="70"/>
  <c r="F28" i="59"/>
  <c r="F47" i="59"/>
  <c r="F26" i="70"/>
  <c r="J40" i="82"/>
  <c r="J43" i="83" s="1"/>
  <c r="E25" i="59"/>
  <c r="D45" i="59"/>
  <c r="D24" i="70"/>
  <c r="D44" i="59"/>
  <c r="D23" i="70"/>
  <c r="E26" i="59"/>
  <c r="D46" i="59"/>
  <c r="D25" i="70"/>
  <c r="G18" i="59"/>
  <c r="G51" i="69" s="1"/>
  <c r="F16" i="59"/>
  <c r="F49" i="69" s="1"/>
  <c r="G19" i="59"/>
  <c r="G52" i="69" s="1"/>
  <c r="G17" i="59"/>
  <c r="G50" i="69" s="1"/>
  <c r="F15" i="59"/>
  <c r="J33" i="82" l="1"/>
  <c r="E46" i="59"/>
  <c r="E25" i="70"/>
  <c r="F26" i="59"/>
  <c r="F48" i="59"/>
  <c r="F27" i="70"/>
  <c r="G28" i="59"/>
  <c r="E24" i="70"/>
  <c r="E45" i="59"/>
  <c r="F25" i="59"/>
  <c r="F47" i="69"/>
  <c r="F48" i="69"/>
  <c r="F14" i="59"/>
  <c r="F24" i="59" s="1"/>
  <c r="K30" i="82"/>
  <c r="K42" i="82" s="1"/>
  <c r="K35" i="83" s="1"/>
  <c r="E44" i="59"/>
  <c r="E23" i="70"/>
  <c r="F49" i="59"/>
  <c r="G29" i="59"/>
  <c r="F28" i="70"/>
  <c r="D50" i="59"/>
  <c r="G27" i="59"/>
  <c r="G15" i="59"/>
  <c r="H18" i="59"/>
  <c r="H51" i="69" s="1"/>
  <c r="H19" i="59"/>
  <c r="H52" i="69" s="1"/>
  <c r="H17" i="59"/>
  <c r="H50" i="69" s="1"/>
  <c r="I18" i="59"/>
  <c r="I51" i="69" s="1"/>
  <c r="I19" i="59"/>
  <c r="I52" i="69" s="1"/>
  <c r="I17" i="59"/>
  <c r="I50" i="69" s="1"/>
  <c r="H28" i="59" l="1"/>
  <c r="G48" i="59"/>
  <c r="G27" i="70"/>
  <c r="D56" i="59"/>
  <c r="D40" i="69" s="1"/>
  <c r="D57" i="59"/>
  <c r="D41" i="69" s="1"/>
  <c r="D58" i="59"/>
  <c r="D42" i="69" s="1"/>
  <c r="D55" i="59"/>
  <c r="D39" i="69" s="1"/>
  <c r="D54" i="59"/>
  <c r="D38" i="69" s="1"/>
  <c r="E50" i="59"/>
  <c r="E55" i="59" s="1"/>
  <c r="E39" i="69" s="1"/>
  <c r="K32" i="82"/>
  <c r="F46" i="59"/>
  <c r="F25" i="70"/>
  <c r="G49" i="59"/>
  <c r="G28" i="70"/>
  <c r="H29" i="59"/>
  <c r="F24" i="70"/>
  <c r="G25" i="59"/>
  <c r="F45" i="59"/>
  <c r="G48" i="69"/>
  <c r="G14" i="59"/>
  <c r="G24" i="59" s="1"/>
  <c r="G47" i="69"/>
  <c r="G47" i="59"/>
  <c r="H27" i="59"/>
  <c r="G26" i="70"/>
  <c r="D53" i="59"/>
  <c r="F44" i="59"/>
  <c r="F23" i="70"/>
  <c r="G16" i="59"/>
  <c r="G49" i="69" s="1"/>
  <c r="H15" i="59"/>
  <c r="J17" i="59"/>
  <c r="J50" i="69" s="1"/>
  <c r="I15" i="59"/>
  <c r="J18" i="59"/>
  <c r="J51" i="69" s="1"/>
  <c r="J19" i="59"/>
  <c r="J52" i="69" s="1"/>
  <c r="E54" i="59" l="1"/>
  <c r="E38" i="69" s="1"/>
  <c r="G23" i="70"/>
  <c r="G44" i="59"/>
  <c r="D136" i="69"/>
  <c r="D159" i="69" s="1"/>
  <c r="D7" i="70" s="1"/>
  <c r="D147" i="69"/>
  <c r="D168" i="69" s="1"/>
  <c r="D16" i="70" s="1"/>
  <c r="F50" i="59"/>
  <c r="F55" i="59" s="1"/>
  <c r="F39" i="69" s="1"/>
  <c r="H28" i="70"/>
  <c r="I29" i="59"/>
  <c r="H49" i="59"/>
  <c r="D139" i="69"/>
  <c r="D162" i="69" s="1"/>
  <c r="D10" i="70" s="1"/>
  <c r="D150" i="69"/>
  <c r="D171" i="69" s="1"/>
  <c r="D19" i="70" s="1"/>
  <c r="H14" i="59"/>
  <c r="H24" i="59" s="1"/>
  <c r="H47" i="69"/>
  <c r="H48" i="69"/>
  <c r="D135" i="69"/>
  <c r="D158" i="69" s="1"/>
  <c r="D6" i="70" s="1"/>
  <c r="D146" i="69"/>
  <c r="D167" i="69" s="1"/>
  <c r="D15" i="70" s="1"/>
  <c r="H25" i="59"/>
  <c r="G45" i="59"/>
  <c r="G24" i="70"/>
  <c r="D59" i="59"/>
  <c r="D37" i="69"/>
  <c r="D138" i="69"/>
  <c r="D161" i="69" s="1"/>
  <c r="D9" i="70" s="1"/>
  <c r="D149" i="69"/>
  <c r="D170" i="69" s="1"/>
  <c r="D18" i="70" s="1"/>
  <c r="E53" i="59"/>
  <c r="E56" i="59"/>
  <c r="E40" i="69" s="1"/>
  <c r="E58" i="59"/>
  <c r="E42" i="69" s="1"/>
  <c r="E57" i="59"/>
  <c r="E41" i="69" s="1"/>
  <c r="D137" i="69"/>
  <c r="D160" i="69" s="1"/>
  <c r="D8" i="70" s="1"/>
  <c r="D148" i="69"/>
  <c r="D169" i="69" s="1"/>
  <c r="D17" i="70" s="1"/>
  <c r="H26" i="70"/>
  <c r="H47" i="59"/>
  <c r="I27" i="59"/>
  <c r="G26" i="59"/>
  <c r="K40" i="82"/>
  <c r="K43" i="83" s="1"/>
  <c r="L28" i="82"/>
  <c r="K33" i="82"/>
  <c r="I47" i="69"/>
  <c r="I14" i="59"/>
  <c r="I48" i="69"/>
  <c r="H48" i="59"/>
  <c r="H27" i="70"/>
  <c r="I28" i="59"/>
  <c r="H16" i="59"/>
  <c r="H49" i="69" s="1"/>
  <c r="I16" i="59"/>
  <c r="I49" i="69" s="1"/>
  <c r="K17" i="59"/>
  <c r="K50" i="69" s="1"/>
  <c r="J15" i="59"/>
  <c r="K19" i="59"/>
  <c r="K52" i="69" s="1"/>
  <c r="K18" i="59"/>
  <c r="K51" i="69" s="1"/>
  <c r="F53" i="59" l="1"/>
  <c r="D68" i="70"/>
  <c r="D67" i="70"/>
  <c r="D76" i="70" s="1"/>
  <c r="D70" i="70"/>
  <c r="F39" i="91" s="1"/>
  <c r="D71" i="70"/>
  <c r="F40" i="91" s="1"/>
  <c r="D69" i="70"/>
  <c r="H26" i="59"/>
  <c r="G25" i="70"/>
  <c r="G46" i="59"/>
  <c r="G50" i="59" s="1"/>
  <c r="G53" i="59" s="1"/>
  <c r="D43" i="69"/>
  <c r="D134" i="69"/>
  <c r="D54" i="69"/>
  <c r="D145" i="69"/>
  <c r="J27" i="59"/>
  <c r="I26" i="70"/>
  <c r="I47" i="59"/>
  <c r="I28" i="70"/>
  <c r="I49" i="59"/>
  <c r="J29" i="59"/>
  <c r="F36" i="91"/>
  <c r="F37" i="69"/>
  <c r="F38" i="91"/>
  <c r="D78" i="70"/>
  <c r="I25" i="59"/>
  <c r="H45" i="59"/>
  <c r="H24" i="70"/>
  <c r="F54" i="59"/>
  <c r="F38" i="69" s="1"/>
  <c r="F56" i="59"/>
  <c r="F40" i="69" s="1"/>
  <c r="F58" i="59"/>
  <c r="F42" i="69" s="1"/>
  <c r="F57" i="59"/>
  <c r="F41" i="69" s="1"/>
  <c r="F37" i="91"/>
  <c r="D77" i="70"/>
  <c r="E37" i="69"/>
  <c r="E59" i="59"/>
  <c r="H23" i="70"/>
  <c r="I24" i="59"/>
  <c r="H44" i="59"/>
  <c r="J48" i="69"/>
  <c r="J14" i="59"/>
  <c r="J47" i="69"/>
  <c r="L30" i="82"/>
  <c r="L42" i="82" s="1"/>
  <c r="L35" i="83" s="1"/>
  <c r="I27" i="70"/>
  <c r="J28" i="59"/>
  <c r="I48" i="59"/>
  <c r="K15" i="59"/>
  <c r="J16" i="59"/>
  <c r="J49" i="69" s="1"/>
  <c r="D80" i="70" l="1"/>
  <c r="D79" i="70"/>
  <c r="G37" i="69"/>
  <c r="J24" i="59"/>
  <c r="I23" i="70"/>
  <c r="I44" i="59"/>
  <c r="G54" i="59"/>
  <c r="G38" i="69" s="1"/>
  <c r="G55" i="59"/>
  <c r="G39" i="69" s="1"/>
  <c r="G58" i="59"/>
  <c r="G42" i="69" s="1"/>
  <c r="G57" i="59"/>
  <c r="G41" i="69" s="1"/>
  <c r="G56" i="59"/>
  <c r="G40" i="69" s="1"/>
  <c r="D151" i="69"/>
  <c r="D152" i="69" s="1"/>
  <c r="D166" i="69"/>
  <c r="D140" i="69"/>
  <c r="D141" i="69" s="1"/>
  <c r="D157" i="69"/>
  <c r="J27" i="70"/>
  <c r="J48" i="59"/>
  <c r="K28" i="59"/>
  <c r="J47" i="59"/>
  <c r="K27" i="59"/>
  <c r="J26" i="70"/>
  <c r="K47" i="69"/>
  <c r="K14" i="59"/>
  <c r="K48" i="69"/>
  <c r="J49" i="59"/>
  <c r="J28" i="70"/>
  <c r="K29" i="59"/>
  <c r="E43" i="69"/>
  <c r="E54" i="69"/>
  <c r="I24" i="70"/>
  <c r="J25" i="59"/>
  <c r="I45" i="59"/>
  <c r="L32" i="82"/>
  <c r="F59" i="59"/>
  <c r="F43" i="69"/>
  <c r="F54" i="69"/>
  <c r="I26" i="59"/>
  <c r="H46" i="59"/>
  <c r="H25" i="70"/>
  <c r="K16" i="59"/>
  <c r="K49" i="69" s="1"/>
  <c r="K26" i="70" l="1"/>
  <c r="L27" i="59"/>
  <c r="K47" i="59"/>
  <c r="L29" i="59"/>
  <c r="K49" i="59"/>
  <c r="K28" i="70"/>
  <c r="H50" i="59"/>
  <c r="H55" i="59" s="1"/>
  <c r="H39" i="69" s="1"/>
  <c r="D172" i="69"/>
  <c r="D14" i="70"/>
  <c r="I50" i="59"/>
  <c r="I54" i="59" s="1"/>
  <c r="I38" i="69" s="1"/>
  <c r="D5" i="70"/>
  <c r="D163" i="69"/>
  <c r="E94" i="69"/>
  <c r="E76" i="69"/>
  <c r="E98" i="69"/>
  <c r="E72" i="69"/>
  <c r="E64" i="69"/>
  <c r="J26" i="59"/>
  <c r="I46" i="59"/>
  <c r="I25" i="70"/>
  <c r="L40" i="82"/>
  <c r="L43" i="83" s="1"/>
  <c r="L33" i="82"/>
  <c r="J23" i="70"/>
  <c r="K24" i="59"/>
  <c r="J44" i="59"/>
  <c r="G43" i="69"/>
  <c r="G54" i="69"/>
  <c r="L28" i="59"/>
  <c r="K27" i="70"/>
  <c r="K48" i="59"/>
  <c r="K25" i="59"/>
  <c r="J45" i="59"/>
  <c r="J24" i="70"/>
  <c r="G59" i="59"/>
  <c r="D11" i="81"/>
  <c r="E8" i="81"/>
  <c r="F64" i="69" l="1"/>
  <c r="E65" i="69"/>
  <c r="E66" i="69" s="1"/>
  <c r="F72" i="69"/>
  <c r="E73" i="69"/>
  <c r="E74" i="69" s="1"/>
  <c r="H57" i="59"/>
  <c r="H41" i="69" s="1"/>
  <c r="H56" i="59"/>
  <c r="H40" i="69" s="1"/>
  <c r="H58" i="59"/>
  <c r="H42" i="69" s="1"/>
  <c r="H54" i="59"/>
  <c r="H38" i="69" s="1"/>
  <c r="H53" i="59"/>
  <c r="L24" i="59"/>
  <c r="K23" i="70"/>
  <c r="K44" i="59"/>
  <c r="L49" i="59"/>
  <c r="L28" i="70"/>
  <c r="E61" i="81"/>
  <c r="E58" i="81"/>
  <c r="E65" i="81"/>
  <c r="E52" i="81"/>
  <c r="E64" i="81"/>
  <c r="E53" i="81"/>
  <c r="E55" i="81"/>
  <c r="E56" i="81"/>
  <c r="E62" i="81"/>
  <c r="E59" i="81"/>
  <c r="D14" i="81"/>
  <c r="L48" i="59"/>
  <c r="L27" i="70"/>
  <c r="F98" i="69"/>
  <c r="E99" i="69"/>
  <c r="E100" i="69" s="1"/>
  <c r="K24" i="70"/>
  <c r="L25" i="59"/>
  <c r="K45" i="59"/>
  <c r="F76" i="69"/>
  <c r="E77" i="69"/>
  <c r="E78" i="69" s="1"/>
  <c r="I53" i="59"/>
  <c r="I56" i="59"/>
  <c r="I40" i="69" s="1"/>
  <c r="I57" i="59"/>
  <c r="I41" i="69" s="1"/>
  <c r="I58" i="59"/>
  <c r="I42" i="69" s="1"/>
  <c r="D164" i="69"/>
  <c r="D11" i="70"/>
  <c r="D12" i="70" s="1"/>
  <c r="I55" i="59"/>
  <c r="I39" i="69" s="1"/>
  <c r="D66" i="70"/>
  <c r="L47" i="59"/>
  <c r="L26" i="70"/>
  <c r="F94" i="69"/>
  <c r="E95" i="69"/>
  <c r="E102" i="69"/>
  <c r="J25" i="70"/>
  <c r="J46" i="59"/>
  <c r="J50" i="59" s="1"/>
  <c r="K26" i="59"/>
  <c r="D173" i="69"/>
  <c r="D20" i="70"/>
  <c r="D21" i="70" s="1"/>
  <c r="J55" i="59" l="1"/>
  <c r="J39" i="69" s="1"/>
  <c r="J57" i="59"/>
  <c r="J41" i="69" s="1"/>
  <c r="J56" i="59"/>
  <c r="J40" i="69" s="1"/>
  <c r="J58" i="59"/>
  <c r="J42" i="69" s="1"/>
  <c r="J54" i="59"/>
  <c r="J38" i="69" s="1"/>
  <c r="J53" i="59"/>
  <c r="G98" i="69"/>
  <c r="F99" i="69"/>
  <c r="F100" i="69" s="1"/>
  <c r="L45" i="59"/>
  <c r="L24" i="70"/>
  <c r="E96" i="69"/>
  <c r="E104" i="69" s="1"/>
  <c r="E143" i="69" s="1"/>
  <c r="E103" i="69"/>
  <c r="E121" i="69" s="1"/>
  <c r="G62" i="81"/>
  <c r="D80" i="81" s="1"/>
  <c r="D32" i="81"/>
  <c r="G55" i="81"/>
  <c r="D73" i="81" s="1"/>
  <c r="D33" i="81"/>
  <c r="D47" i="81"/>
  <c r="G59" i="81"/>
  <c r="D77" i="81" s="1"/>
  <c r="G56" i="81"/>
  <c r="D74" i="81" s="1"/>
  <c r="G53" i="81"/>
  <c r="D71" i="81" s="1"/>
  <c r="D35" i="81"/>
  <c r="G52" i="81"/>
  <c r="D70" i="81" s="1"/>
  <c r="D36" i="81"/>
  <c r="D95" i="81" s="1"/>
  <c r="G65" i="81"/>
  <c r="D83" i="81" s="1"/>
  <c r="G64" i="81"/>
  <c r="D82" i="81" s="1"/>
  <c r="D8" i="84"/>
  <c r="G61" i="81"/>
  <c r="D79" i="81" s="1"/>
  <c r="D34" i="81"/>
  <c r="G58" i="81"/>
  <c r="D76" i="81" s="1"/>
  <c r="G72" i="69"/>
  <c r="F73" i="69"/>
  <c r="F74" i="69" s="1"/>
  <c r="I37" i="69"/>
  <c r="I59" i="59"/>
  <c r="E82" i="69"/>
  <c r="E132" i="69" s="1"/>
  <c r="G94" i="69"/>
  <c r="F95" i="69"/>
  <c r="F102" i="69"/>
  <c r="E81" i="69"/>
  <c r="E110" i="69" s="1"/>
  <c r="E80" i="69"/>
  <c r="G64" i="69"/>
  <c r="F65" i="69"/>
  <c r="F66" i="69" s="1"/>
  <c r="D75" i="70"/>
  <c r="D72" i="70"/>
  <c r="F41" i="91" s="1"/>
  <c r="F35" i="91"/>
  <c r="D73" i="70"/>
  <c r="L44" i="59"/>
  <c r="L23" i="70"/>
  <c r="G76" i="69"/>
  <c r="F77" i="69"/>
  <c r="F78" i="69" s="1"/>
  <c r="H37" i="69"/>
  <c r="H59" i="59"/>
  <c r="L26" i="59"/>
  <c r="K25" i="70"/>
  <c r="K46" i="59"/>
  <c r="E11" i="81"/>
  <c r="E14" i="81" s="1"/>
  <c r="F8" i="81"/>
  <c r="E77" i="81" l="1"/>
  <c r="E79" i="81"/>
  <c r="E73" i="81"/>
  <c r="F82" i="69"/>
  <c r="F132" i="69" s="1"/>
  <c r="F136" i="69" s="1"/>
  <c r="F80" i="69"/>
  <c r="F81" i="69"/>
  <c r="F110" i="69" s="1"/>
  <c r="E136" i="69"/>
  <c r="E135" i="69"/>
  <c r="E137" i="69"/>
  <c r="E138" i="69"/>
  <c r="E139" i="69"/>
  <c r="E134" i="69"/>
  <c r="E76" i="81"/>
  <c r="E34" i="81"/>
  <c r="E47" i="81"/>
  <c r="E8" i="84"/>
  <c r="E36" i="81"/>
  <c r="E95" i="81" s="1"/>
  <c r="E32" i="81"/>
  <c r="E33" i="81"/>
  <c r="E35" i="81"/>
  <c r="E15" i="81"/>
  <c r="D27" i="83" s="1"/>
  <c r="E46" i="83" s="1"/>
  <c r="E83" i="69"/>
  <c r="I43" i="69"/>
  <c r="I54" i="69"/>
  <c r="E82" i="81"/>
  <c r="E80" i="81"/>
  <c r="D37" i="81"/>
  <c r="D38" i="81" s="1"/>
  <c r="D90" i="81"/>
  <c r="D40" i="81"/>
  <c r="D72" i="84" s="1"/>
  <c r="E115" i="69"/>
  <c r="E117" i="69"/>
  <c r="E112" i="69"/>
  <c r="E113" i="69"/>
  <c r="E114" i="69"/>
  <c r="E116" i="69"/>
  <c r="E126" i="69"/>
  <c r="E128" i="69"/>
  <c r="E123" i="69"/>
  <c r="E124" i="69"/>
  <c r="E125" i="69"/>
  <c r="E127" i="69"/>
  <c r="J37" i="69"/>
  <c r="J59" i="59"/>
  <c r="E147" i="69"/>
  <c r="E150" i="69"/>
  <c r="E148" i="69"/>
  <c r="E146" i="69"/>
  <c r="E149" i="69"/>
  <c r="E145" i="69"/>
  <c r="G99" i="69"/>
  <c r="G100" i="69" s="1"/>
  <c r="D35" i="84"/>
  <c r="D73" i="84" s="1"/>
  <c r="D33" i="84"/>
  <c r="D46" i="84" s="1"/>
  <c r="D34" i="84"/>
  <c r="D36" i="84"/>
  <c r="E70" i="81"/>
  <c r="D89" i="81"/>
  <c r="D91" i="81" s="1"/>
  <c r="D85" i="81"/>
  <c r="D51" i="84" s="1"/>
  <c r="L46" i="59"/>
  <c r="L25" i="70"/>
  <c r="H43" i="69"/>
  <c r="H54" i="69"/>
  <c r="H64" i="69" s="1"/>
  <c r="G77" i="69"/>
  <c r="G78" i="69" s="1"/>
  <c r="K50" i="59"/>
  <c r="K55" i="59" s="1"/>
  <c r="K39" i="69" s="1"/>
  <c r="G95" i="69"/>
  <c r="G102" i="69"/>
  <c r="G65" i="69"/>
  <c r="G66" i="69" s="1"/>
  <c r="D94" i="81"/>
  <c r="D96" i="81" s="1"/>
  <c r="E83" i="81"/>
  <c r="E105" i="69"/>
  <c r="F96" i="69"/>
  <c r="F104" i="69" s="1"/>
  <c r="F143" i="69" s="1"/>
  <c r="F103" i="69"/>
  <c r="F121" i="69" s="1"/>
  <c r="F42" i="91"/>
  <c r="F44" i="91"/>
  <c r="E44" i="91" s="1"/>
  <c r="D44" i="91" s="1"/>
  <c r="E71" i="81"/>
  <c r="D86" i="81"/>
  <c r="D52" i="84" s="1"/>
  <c r="F30" i="91" s="1"/>
  <c r="G73" i="69"/>
  <c r="G74" i="69" s="1"/>
  <c r="E74" i="81"/>
  <c r="F11" i="81"/>
  <c r="F14" i="81" s="1"/>
  <c r="F74" i="81" l="1"/>
  <c r="F76" i="81"/>
  <c r="F139" i="69"/>
  <c r="F135" i="69"/>
  <c r="F137" i="69"/>
  <c r="F138" i="69"/>
  <c r="F134" i="69"/>
  <c r="E159" i="69"/>
  <c r="E7" i="70" s="1"/>
  <c r="E161" i="69"/>
  <c r="E9" i="70" s="1"/>
  <c r="E140" i="69"/>
  <c r="E141" i="69" s="1"/>
  <c r="H76" i="69"/>
  <c r="I76" i="69" s="1"/>
  <c r="E158" i="69"/>
  <c r="E6" i="70" s="1"/>
  <c r="E160" i="69"/>
  <c r="E8" i="70" s="1"/>
  <c r="E162" i="69"/>
  <c r="E10" i="70" s="1"/>
  <c r="D37" i="84"/>
  <c r="I64" i="69"/>
  <c r="H65" i="69"/>
  <c r="H66" i="69" s="1"/>
  <c r="F29" i="91"/>
  <c r="F31" i="91" s="1"/>
  <c r="E169" i="69"/>
  <c r="E17" i="70" s="1"/>
  <c r="F82" i="81"/>
  <c r="E89" i="81"/>
  <c r="F70" i="81"/>
  <c r="E85" i="81"/>
  <c r="E51" i="84" s="1"/>
  <c r="G29" i="91" s="1"/>
  <c r="G31" i="91" s="1"/>
  <c r="G22" i="91" s="1"/>
  <c r="F147" i="69"/>
  <c r="F145" i="69"/>
  <c r="F148" i="69"/>
  <c r="F149" i="69"/>
  <c r="F146" i="69"/>
  <c r="F150" i="69"/>
  <c r="F34" i="81"/>
  <c r="F47" i="81"/>
  <c r="F15" i="81"/>
  <c r="E27" i="83" s="1"/>
  <c r="E33" i="83" s="1"/>
  <c r="E39" i="83" s="1"/>
  <c r="E52" i="83" s="1"/>
  <c r="E5" i="84" s="1"/>
  <c r="F36" i="81"/>
  <c r="F95" i="81" s="1"/>
  <c r="F35" i="81"/>
  <c r="F8" i="84"/>
  <c r="F32" i="81"/>
  <c r="F33" i="81"/>
  <c r="F105" i="69"/>
  <c r="F79" i="81"/>
  <c r="D39" i="84"/>
  <c r="D101" i="81"/>
  <c r="D42" i="84" s="1"/>
  <c r="D48" i="84" s="1"/>
  <c r="D102" i="81"/>
  <c r="D43" i="84" s="1"/>
  <c r="D49" i="84" s="1"/>
  <c r="D40" i="84"/>
  <c r="E157" i="69"/>
  <c r="E118" i="69"/>
  <c r="E119" i="69" s="1"/>
  <c r="H72" i="69"/>
  <c r="E48" i="83"/>
  <c r="E53" i="83" s="1"/>
  <c r="E6" i="84" s="1"/>
  <c r="F83" i="81"/>
  <c r="E94" i="81"/>
  <c r="E96" i="81" s="1"/>
  <c r="F73" i="81"/>
  <c r="L50" i="59"/>
  <c r="L55" i="59" s="1"/>
  <c r="L39" i="69" s="1"/>
  <c r="E170" i="69"/>
  <c r="E18" i="70" s="1"/>
  <c r="E86" i="81"/>
  <c r="E52" i="84" s="1"/>
  <c r="G30" i="91" s="1"/>
  <c r="F71" i="81"/>
  <c r="G81" i="69"/>
  <c r="G110" i="69" s="1"/>
  <c r="G80" i="69"/>
  <c r="H94" i="69"/>
  <c r="H98" i="69"/>
  <c r="E168" i="69"/>
  <c r="E16" i="70" s="1"/>
  <c r="E68" i="70" s="1"/>
  <c r="E40" i="81"/>
  <c r="E90" i="81"/>
  <c r="E37" i="81"/>
  <c r="E38" i="81" s="1"/>
  <c r="J54" i="69"/>
  <c r="J43" i="69"/>
  <c r="G82" i="69"/>
  <c r="G132" i="69" s="1"/>
  <c r="G96" i="69"/>
  <c r="G104" i="69" s="1"/>
  <c r="G143" i="69" s="1"/>
  <c r="G103" i="69"/>
  <c r="G121" i="69" s="1"/>
  <c r="F115" i="69"/>
  <c r="F160" i="69" s="1"/>
  <c r="F8" i="70" s="1"/>
  <c r="F117" i="69"/>
  <c r="F162" i="69" s="1"/>
  <c r="F10" i="70" s="1"/>
  <c r="F112" i="69"/>
  <c r="F113" i="69"/>
  <c r="F158" i="69" s="1"/>
  <c r="F6" i="70" s="1"/>
  <c r="F114" i="69"/>
  <c r="F159" i="69" s="1"/>
  <c r="F7" i="70" s="1"/>
  <c r="F116" i="69"/>
  <c r="E167" i="69"/>
  <c r="E15" i="70" s="1"/>
  <c r="K58" i="59"/>
  <c r="K42" i="69" s="1"/>
  <c r="K56" i="59"/>
  <c r="K40" i="69" s="1"/>
  <c r="K57" i="59"/>
  <c r="K41" i="69" s="1"/>
  <c r="K54" i="59"/>
  <c r="K38" i="69" s="1"/>
  <c r="K53" i="59"/>
  <c r="E166" i="69"/>
  <c r="E129" i="69"/>
  <c r="E130" i="69" s="1"/>
  <c r="F77" i="81"/>
  <c r="F127" i="69"/>
  <c r="F126" i="69"/>
  <c r="F128" i="69"/>
  <c r="F123" i="69"/>
  <c r="F124" i="69"/>
  <c r="F125" i="69"/>
  <c r="E151" i="69"/>
  <c r="E152" i="69" s="1"/>
  <c r="E171" i="69"/>
  <c r="E19" i="70" s="1"/>
  <c r="F80" i="81"/>
  <c r="F83" i="69"/>
  <c r="G8" i="81"/>
  <c r="F140" i="69" l="1"/>
  <c r="F141" i="69" s="1"/>
  <c r="D67" i="84"/>
  <c r="D66" i="84"/>
  <c r="H77" i="69"/>
  <c r="H78" i="69" s="1"/>
  <c r="F161" i="69"/>
  <c r="F9" i="70" s="1"/>
  <c r="E70" i="70"/>
  <c r="E79" i="70" s="1"/>
  <c r="E67" i="70"/>
  <c r="G36" i="91" s="1"/>
  <c r="F167" i="69"/>
  <c r="F15" i="70" s="1"/>
  <c r="F67" i="70" s="1"/>
  <c r="E69" i="70"/>
  <c r="G38" i="91" s="1"/>
  <c r="E25" i="84"/>
  <c r="E27" i="84" s="1"/>
  <c r="E71" i="70"/>
  <c r="G40" i="91" s="1"/>
  <c r="F170" i="69"/>
  <c r="F18" i="70" s="1"/>
  <c r="F168" i="69"/>
  <c r="F16" i="70" s="1"/>
  <c r="F68" i="70" s="1"/>
  <c r="F169" i="69"/>
  <c r="F17" i="70" s="1"/>
  <c r="F69" i="70" s="1"/>
  <c r="F78" i="70" s="1"/>
  <c r="G105" i="69"/>
  <c r="F151" i="69"/>
  <c r="F152" i="69" s="1"/>
  <c r="G83" i="69"/>
  <c r="E77" i="70"/>
  <c r="G37" i="91"/>
  <c r="E5" i="70"/>
  <c r="E163" i="69"/>
  <c r="I98" i="69"/>
  <c r="H99" i="69"/>
  <c r="H100" i="69" s="1"/>
  <c r="E102" i="81"/>
  <c r="E43" i="84" s="1"/>
  <c r="E40" i="84"/>
  <c r="L58" i="59"/>
  <c r="L42" i="69" s="1"/>
  <c r="L56" i="59"/>
  <c r="L40" i="69" s="1"/>
  <c r="L57" i="59"/>
  <c r="L41" i="69" s="1"/>
  <c r="L54" i="59"/>
  <c r="L38" i="69" s="1"/>
  <c r="L53" i="59"/>
  <c r="G125" i="69"/>
  <c r="G124" i="69"/>
  <c r="G127" i="69"/>
  <c r="G126" i="69"/>
  <c r="G128" i="69"/>
  <c r="G123" i="69"/>
  <c r="I94" i="69"/>
  <c r="H95" i="69"/>
  <c r="H102" i="69"/>
  <c r="F94" i="81"/>
  <c r="F96" i="81" s="1"/>
  <c r="J76" i="69"/>
  <c r="I77" i="69"/>
  <c r="I78" i="69" s="1"/>
  <c r="D54" i="84" a="1"/>
  <c r="D54" i="84" s="1"/>
  <c r="D57" i="84" s="1"/>
  <c r="D63" i="84" s="1"/>
  <c r="D70" i="84" s="1"/>
  <c r="E31" i="91"/>
  <c r="F22" i="91"/>
  <c r="G149" i="69"/>
  <c r="G150" i="69"/>
  <c r="G145" i="69"/>
  <c r="G147" i="69"/>
  <c r="G146" i="69"/>
  <c r="G148" i="69"/>
  <c r="F166" i="69"/>
  <c r="F129" i="69"/>
  <c r="F130" i="69" s="1"/>
  <c r="E172" i="69"/>
  <c r="E14" i="70"/>
  <c r="F89" i="81"/>
  <c r="F85" i="81"/>
  <c r="F51" i="84" s="1"/>
  <c r="H29" i="91" s="1"/>
  <c r="H31" i="91" s="1"/>
  <c r="H22" i="91" s="1"/>
  <c r="K37" i="69"/>
  <c r="K59" i="59"/>
  <c r="F157" i="69"/>
  <c r="F118" i="69"/>
  <c r="F119" i="69" s="1"/>
  <c r="E91" i="81"/>
  <c r="G134" i="69"/>
  <c r="G136" i="69"/>
  <c r="G135" i="69"/>
  <c r="G137" i="69"/>
  <c r="G138" i="69"/>
  <c r="G139" i="69"/>
  <c r="G114" i="69"/>
  <c r="G116" i="69"/>
  <c r="G115" i="69"/>
  <c r="G117" i="69"/>
  <c r="G112" i="69"/>
  <c r="G113" i="69"/>
  <c r="F171" i="69"/>
  <c r="F19" i="70" s="1"/>
  <c r="F71" i="70" s="1"/>
  <c r="F86" i="81"/>
  <c r="F52" i="84" s="1"/>
  <c r="H30" i="91" s="1"/>
  <c r="F46" i="83"/>
  <c r="I72" i="69"/>
  <c r="H73" i="69"/>
  <c r="H74" i="69" s="1"/>
  <c r="H82" i="69" s="1"/>
  <c r="H132" i="69" s="1"/>
  <c r="F90" i="81"/>
  <c r="F37" i="81"/>
  <c r="F38" i="81" s="1"/>
  <c r="F40" i="81"/>
  <c r="J64" i="69"/>
  <c r="I65" i="69"/>
  <c r="I66" i="69" s="1"/>
  <c r="G11" i="81"/>
  <c r="G14" i="81" s="1"/>
  <c r="G39" i="91" l="1"/>
  <c r="F91" i="81"/>
  <c r="E29" i="84"/>
  <c r="E35" i="84" s="1"/>
  <c r="E73" i="84" s="1"/>
  <c r="E28" i="84"/>
  <c r="E34" i="84" s="1"/>
  <c r="H80" i="69"/>
  <c r="F70" i="70"/>
  <c r="H39" i="91" s="1"/>
  <c r="H81" i="69"/>
  <c r="H110" i="69" s="1"/>
  <c r="H114" i="69" s="1"/>
  <c r="E78" i="70"/>
  <c r="E76" i="70"/>
  <c r="E80" i="70"/>
  <c r="F79" i="70"/>
  <c r="G159" i="69"/>
  <c r="G7" i="70" s="1"/>
  <c r="G161" i="69"/>
  <c r="G9" i="70" s="1"/>
  <c r="G160" i="69"/>
  <c r="G8" i="70" s="1"/>
  <c r="H38" i="91"/>
  <c r="G170" i="69"/>
  <c r="G18" i="70" s="1"/>
  <c r="H136" i="69"/>
  <c r="H138" i="69"/>
  <c r="H139" i="69"/>
  <c r="H137" i="69"/>
  <c r="H135" i="69"/>
  <c r="H134" i="69"/>
  <c r="G36" i="81"/>
  <c r="G95" i="81" s="1"/>
  <c r="G8" i="84"/>
  <c r="G47" i="81"/>
  <c r="G34" i="81"/>
  <c r="G35" i="81"/>
  <c r="G33" i="81"/>
  <c r="G15" i="81"/>
  <c r="F27" i="83" s="1"/>
  <c r="F33" i="83" s="1"/>
  <c r="G32" i="81"/>
  <c r="G76" i="81"/>
  <c r="G74" i="81"/>
  <c r="G79" i="81"/>
  <c r="E33" i="84"/>
  <c r="E46" i="84" s="1"/>
  <c r="E30" i="84"/>
  <c r="E45" i="84"/>
  <c r="G167" i="69"/>
  <c r="G15" i="70" s="1"/>
  <c r="G80" i="81"/>
  <c r="G168" i="69"/>
  <c r="G16" i="70" s="1"/>
  <c r="K43" i="69"/>
  <c r="K54" i="69"/>
  <c r="K76" i="69" s="1"/>
  <c r="F40" i="84"/>
  <c r="F102" i="81"/>
  <c r="F43" i="84" s="1"/>
  <c r="G77" i="81"/>
  <c r="G71" i="81"/>
  <c r="G70" i="81"/>
  <c r="H96" i="69"/>
  <c r="H104" i="69" s="1"/>
  <c r="H143" i="69" s="1"/>
  <c r="H103" i="69"/>
  <c r="H121" i="69" s="1"/>
  <c r="D56" i="84"/>
  <c r="D62" i="84" s="1"/>
  <c r="D71" i="84" s="1"/>
  <c r="F163" i="69"/>
  <c r="F5" i="70"/>
  <c r="J77" i="69"/>
  <c r="J78" i="69" s="1"/>
  <c r="E164" i="69"/>
  <c r="E11" i="70"/>
  <c r="E12" i="70" s="1"/>
  <c r="F39" i="84"/>
  <c r="F101" i="81"/>
  <c r="F42" i="84" s="1"/>
  <c r="J94" i="69"/>
  <c r="I95" i="69"/>
  <c r="I102" i="69"/>
  <c r="E67" i="84"/>
  <c r="E39" i="84"/>
  <c r="E101" i="81"/>
  <c r="E42" i="84" s="1"/>
  <c r="F14" i="70"/>
  <c r="F172" i="69"/>
  <c r="J72" i="69"/>
  <c r="I73" i="69"/>
  <c r="I74" i="69" s="1"/>
  <c r="I82" i="69" s="1"/>
  <c r="I132" i="69" s="1"/>
  <c r="F76" i="70"/>
  <c r="H36" i="91"/>
  <c r="G129" i="69"/>
  <c r="G130" i="69" s="1"/>
  <c r="G166" i="69"/>
  <c r="G73" i="81"/>
  <c r="G82" i="81"/>
  <c r="G171" i="69"/>
  <c r="G19" i="70" s="1"/>
  <c r="L37" i="69"/>
  <c r="L59" i="59"/>
  <c r="J65" i="69"/>
  <c r="J66" i="69" s="1"/>
  <c r="G83" i="81"/>
  <c r="F48" i="83"/>
  <c r="F53" i="83" s="1"/>
  <c r="F6" i="84" s="1"/>
  <c r="G151" i="69"/>
  <c r="G152" i="69" s="1"/>
  <c r="F80" i="70"/>
  <c r="H40" i="91"/>
  <c r="G140" i="69"/>
  <c r="G141" i="69" s="1"/>
  <c r="G158" i="69"/>
  <c r="G6" i="70" s="1"/>
  <c r="E66" i="70"/>
  <c r="G157" i="69"/>
  <c r="G118" i="69"/>
  <c r="G119" i="69" s="1"/>
  <c r="E173" i="69"/>
  <c r="E20" i="70"/>
  <c r="E21" i="70" s="1"/>
  <c r="F77" i="70"/>
  <c r="H37" i="91"/>
  <c r="G162" i="69"/>
  <c r="G10" i="70" s="1"/>
  <c r="E22" i="91"/>
  <c r="D31" i="91"/>
  <c r="D22" i="91" s="1"/>
  <c r="G169" i="69"/>
  <c r="G17" i="70" s="1"/>
  <c r="J98" i="69"/>
  <c r="I99" i="69"/>
  <c r="I100" i="69" s="1"/>
  <c r="H8" i="81"/>
  <c r="H83" i="69" l="1"/>
  <c r="H117" i="69"/>
  <c r="H162" i="69" s="1"/>
  <c r="H10" i="70" s="1"/>
  <c r="E66" i="84"/>
  <c r="E72" i="84"/>
  <c r="G46" i="83"/>
  <c r="F66" i="84"/>
  <c r="H115" i="69"/>
  <c r="H160" i="69" s="1"/>
  <c r="H8" i="70" s="1"/>
  <c r="H112" i="69"/>
  <c r="H157" i="69" s="1"/>
  <c r="G70" i="70"/>
  <c r="G79" i="70" s="1"/>
  <c r="H116" i="69"/>
  <c r="H161" i="69" s="1"/>
  <c r="H9" i="70" s="1"/>
  <c r="H113" i="69"/>
  <c r="H158" i="69" s="1"/>
  <c r="H6" i="70" s="1"/>
  <c r="G69" i="70"/>
  <c r="I38" i="91" s="1"/>
  <c r="G68" i="70"/>
  <c r="G77" i="70" s="1"/>
  <c r="H140" i="69"/>
  <c r="H141" i="69" s="1"/>
  <c r="H159" i="69"/>
  <c r="H7" i="70" s="1"/>
  <c r="K64" i="69"/>
  <c r="K65" i="69" s="1"/>
  <c r="K66" i="69" s="1"/>
  <c r="I81" i="69"/>
  <c r="I110" i="69" s="1"/>
  <c r="I115" i="69" s="1"/>
  <c r="H105" i="69"/>
  <c r="I80" i="69"/>
  <c r="F66" i="70"/>
  <c r="F72" i="70" s="1"/>
  <c r="H41" i="91" s="1"/>
  <c r="H147" i="69"/>
  <c r="H150" i="69"/>
  <c r="H146" i="69"/>
  <c r="H149" i="69"/>
  <c r="H148" i="69"/>
  <c r="H145" i="69"/>
  <c r="G67" i="70"/>
  <c r="I135" i="69"/>
  <c r="I138" i="69"/>
  <c r="I137" i="69"/>
  <c r="I136" i="69"/>
  <c r="I139" i="69"/>
  <c r="I134" i="69"/>
  <c r="E31" i="84"/>
  <c r="E36" i="84"/>
  <c r="E37" i="84" s="1"/>
  <c r="E49" i="84"/>
  <c r="E48" i="84"/>
  <c r="F173" i="69"/>
  <c r="F20" i="70"/>
  <c r="F21" i="70" s="1"/>
  <c r="G89" i="81"/>
  <c r="G85" i="81"/>
  <c r="G51" i="84" s="1"/>
  <c r="I29" i="91" s="1"/>
  <c r="K77" i="69"/>
  <c r="K78" i="69" s="1"/>
  <c r="F67" i="84"/>
  <c r="F164" i="69"/>
  <c r="F11" i="70"/>
  <c r="F12" i="70" s="1"/>
  <c r="L43" i="69"/>
  <c r="L54" i="69"/>
  <c r="L76" i="69" s="1"/>
  <c r="L77" i="69" s="1"/>
  <c r="L78" i="69" s="1"/>
  <c r="G71" i="70"/>
  <c r="I96" i="69"/>
  <c r="I104" i="69" s="1"/>
  <c r="I143" i="69" s="1"/>
  <c r="I103" i="69"/>
  <c r="I121" i="69" s="1"/>
  <c r="G14" i="70"/>
  <c r="G172" i="69"/>
  <c r="G94" i="81"/>
  <c r="G96" i="81" s="1"/>
  <c r="K98" i="69"/>
  <c r="J99" i="69"/>
  <c r="J100" i="69" s="1"/>
  <c r="G163" i="69"/>
  <c r="G5" i="70"/>
  <c r="K94" i="69"/>
  <c r="J95" i="69"/>
  <c r="J102" i="69"/>
  <c r="G37" i="81"/>
  <c r="G38" i="81" s="1"/>
  <c r="G40" i="81"/>
  <c r="G90" i="81"/>
  <c r="G86" i="81"/>
  <c r="G52" i="84" s="1"/>
  <c r="I30" i="91" s="1"/>
  <c r="G48" i="83"/>
  <c r="G53" i="83" s="1"/>
  <c r="G6" i="84" s="1"/>
  <c r="E72" i="70"/>
  <c r="G41" i="91" s="1"/>
  <c r="E75" i="70"/>
  <c r="G35" i="91"/>
  <c r="E73" i="70"/>
  <c r="K72" i="69"/>
  <c r="J73" i="69"/>
  <c r="J74" i="69" s="1"/>
  <c r="J82" i="69" s="1"/>
  <c r="J132" i="69" s="1"/>
  <c r="H127" i="69"/>
  <c r="H125" i="69"/>
  <c r="H124" i="69"/>
  <c r="H126" i="69"/>
  <c r="H128" i="69"/>
  <c r="H123" i="69"/>
  <c r="F39" i="83"/>
  <c r="F52" i="83" s="1"/>
  <c r="F5" i="84" s="1"/>
  <c r="F25" i="84" s="1"/>
  <c r="E54" i="84" l="1"/>
  <c r="E56" i="84" s="1"/>
  <c r="E62" i="84" s="1"/>
  <c r="E71" i="84" s="1"/>
  <c r="G78" i="70"/>
  <c r="I39" i="91"/>
  <c r="H118" i="69"/>
  <c r="H119" i="69" s="1"/>
  <c r="L64" i="69"/>
  <c r="L65" i="69" s="1"/>
  <c r="L66" i="69" s="1"/>
  <c r="I37" i="91"/>
  <c r="G66" i="70"/>
  <c r="G75" i="70" s="1"/>
  <c r="I113" i="69"/>
  <c r="I158" i="69" s="1"/>
  <c r="I6" i="70" s="1"/>
  <c r="I114" i="69"/>
  <c r="I159" i="69" s="1"/>
  <c r="I7" i="70" s="1"/>
  <c r="I83" i="69"/>
  <c r="I116" i="69"/>
  <c r="I161" i="69" s="1"/>
  <c r="I9" i="70" s="1"/>
  <c r="H167" i="69"/>
  <c r="H15" i="70" s="1"/>
  <c r="H67" i="70" s="1"/>
  <c r="H76" i="70" s="1"/>
  <c r="H83" i="70" s="1"/>
  <c r="H90" i="70" s="1"/>
  <c r="H110" i="70" s="1"/>
  <c r="I112" i="69"/>
  <c r="I157" i="69" s="1"/>
  <c r="I117" i="69"/>
  <c r="H170" i="69"/>
  <c r="H18" i="70" s="1"/>
  <c r="H70" i="70" s="1"/>
  <c r="H79" i="70" s="1"/>
  <c r="H86" i="70" s="1"/>
  <c r="H93" i="70" s="1"/>
  <c r="H113" i="70" s="1"/>
  <c r="H171" i="69"/>
  <c r="H19" i="70" s="1"/>
  <c r="H71" i="70" s="1"/>
  <c r="H80" i="70" s="1"/>
  <c r="H87" i="70" s="1"/>
  <c r="H94" i="70" s="1"/>
  <c r="H114" i="70" s="1"/>
  <c r="H168" i="69"/>
  <c r="H16" i="70" s="1"/>
  <c r="H68" i="70" s="1"/>
  <c r="H77" i="70" s="1"/>
  <c r="H84" i="70" s="1"/>
  <c r="H91" i="70" s="1"/>
  <c r="H111" i="70" s="1"/>
  <c r="H151" i="69"/>
  <c r="H152" i="69" s="1"/>
  <c r="H35" i="91"/>
  <c r="H44" i="91" s="1"/>
  <c r="F75" i="70"/>
  <c r="J139" i="69"/>
  <c r="J135" i="69"/>
  <c r="J137" i="69"/>
  <c r="J136" i="69"/>
  <c r="J138" i="69"/>
  <c r="J134" i="69"/>
  <c r="G91" i="81"/>
  <c r="I140" i="69"/>
  <c r="I141" i="69" s="1"/>
  <c r="G76" i="70"/>
  <c r="I36" i="91"/>
  <c r="G102" i="81"/>
  <c r="G43" i="84" s="1"/>
  <c r="G40" i="84"/>
  <c r="I146" i="69"/>
  <c r="I150" i="69"/>
  <c r="I149" i="69"/>
  <c r="I147" i="69"/>
  <c r="I148" i="69"/>
  <c r="I145" i="69"/>
  <c r="L72" i="69"/>
  <c r="L73" i="69" s="1"/>
  <c r="L74" i="69" s="1"/>
  <c r="K73" i="69"/>
  <c r="K74" i="69" s="1"/>
  <c r="K82" i="69" s="1"/>
  <c r="K132" i="69" s="1"/>
  <c r="G173" i="69"/>
  <c r="G20" i="70"/>
  <c r="G21" i="70" s="1"/>
  <c r="G164" i="69"/>
  <c r="G11" i="70"/>
  <c r="G12" i="70" s="1"/>
  <c r="H5" i="70"/>
  <c r="H163" i="69"/>
  <c r="L98" i="69"/>
  <c r="L99" i="69" s="1"/>
  <c r="L100" i="69" s="1"/>
  <c r="K99" i="69"/>
  <c r="K100" i="69" s="1"/>
  <c r="I123" i="69"/>
  <c r="I125" i="69"/>
  <c r="I124" i="69"/>
  <c r="I127" i="69"/>
  <c r="I126" i="69"/>
  <c r="I128" i="69"/>
  <c r="F27" i="84"/>
  <c r="F28" i="84"/>
  <c r="F29" i="84"/>
  <c r="F35" i="84" s="1"/>
  <c r="F73" i="84" s="1"/>
  <c r="J96" i="69"/>
  <c r="J104" i="69" s="1"/>
  <c r="J143" i="69" s="1"/>
  <c r="J103" i="69"/>
  <c r="J121" i="69" s="1"/>
  <c r="G80" i="70"/>
  <c r="I40" i="91"/>
  <c r="G42" i="91"/>
  <c r="G44" i="91"/>
  <c r="H166" i="69"/>
  <c r="H129" i="69"/>
  <c r="H130" i="69" s="1"/>
  <c r="J80" i="69"/>
  <c r="L94" i="69"/>
  <c r="K95" i="69"/>
  <c r="K102" i="69"/>
  <c r="I160" i="69"/>
  <c r="I8" i="70" s="1"/>
  <c r="J81" i="69"/>
  <c r="J110" i="69" s="1"/>
  <c r="F73" i="70"/>
  <c r="H169" i="69"/>
  <c r="H17" i="70" s="1"/>
  <c r="H69" i="70" s="1"/>
  <c r="I105" i="69"/>
  <c r="I31" i="91"/>
  <c r="I22" i="91" s="1"/>
  <c r="I8" i="81"/>
  <c r="H11" i="81"/>
  <c r="H14" i="81" s="1"/>
  <c r="I35" i="91" l="1"/>
  <c r="E57" i="84"/>
  <c r="E63" i="84" s="1"/>
  <c r="E70" i="84" s="1"/>
  <c r="L82" i="69"/>
  <c r="L132" i="69" s="1"/>
  <c r="L134" i="69" s="1"/>
  <c r="I118" i="69"/>
  <c r="I119" i="69" s="1"/>
  <c r="G72" i="70"/>
  <c r="I41" i="91" s="1"/>
  <c r="I44" i="91" s="1"/>
  <c r="K81" i="69"/>
  <c r="K110" i="69" s="1"/>
  <c r="K115" i="69" s="1"/>
  <c r="J83" i="69"/>
  <c r="K80" i="69"/>
  <c r="I162" i="69"/>
  <c r="I10" i="70" s="1"/>
  <c r="J40" i="91"/>
  <c r="J37" i="91"/>
  <c r="J39" i="91"/>
  <c r="J36" i="91"/>
  <c r="H42" i="91"/>
  <c r="I171" i="69"/>
  <c r="I19" i="70" s="1"/>
  <c r="G73" i="70"/>
  <c r="K136" i="69"/>
  <c r="K139" i="69"/>
  <c r="K135" i="69"/>
  <c r="K137" i="69"/>
  <c r="K138" i="69"/>
  <c r="K134" i="69"/>
  <c r="H35" i="81"/>
  <c r="H32" i="81"/>
  <c r="H8" i="84"/>
  <c r="H47" i="81"/>
  <c r="H15" i="81"/>
  <c r="G27" i="83" s="1"/>
  <c r="H34" i="81"/>
  <c r="H33" i="81"/>
  <c r="H36" i="81"/>
  <c r="H95" i="81" s="1"/>
  <c r="H73" i="81"/>
  <c r="H77" i="81"/>
  <c r="H70" i="81"/>
  <c r="H82" i="81"/>
  <c r="H83" i="81"/>
  <c r="H74" i="81"/>
  <c r="H71" i="81"/>
  <c r="H79" i="81"/>
  <c r="H80" i="81"/>
  <c r="H76" i="81"/>
  <c r="J126" i="69"/>
  <c r="J128" i="69"/>
  <c r="J123" i="69"/>
  <c r="J125" i="69"/>
  <c r="J124" i="69"/>
  <c r="J127" i="69"/>
  <c r="J150" i="69"/>
  <c r="J146" i="69"/>
  <c r="J148" i="69"/>
  <c r="J147" i="69"/>
  <c r="J149" i="69"/>
  <c r="J145" i="69"/>
  <c r="H164" i="69"/>
  <c r="H11" i="70"/>
  <c r="H12" i="70" s="1"/>
  <c r="I151" i="69"/>
  <c r="I152" i="69" s="1"/>
  <c r="K96" i="69"/>
  <c r="K104" i="69" s="1"/>
  <c r="K143" i="69" s="1"/>
  <c r="K103" i="69"/>
  <c r="K121" i="69" s="1"/>
  <c r="I170" i="69"/>
  <c r="I18" i="70" s="1"/>
  <c r="I70" i="70" s="1"/>
  <c r="G67" i="84"/>
  <c r="G101" i="81"/>
  <c r="G42" i="84" s="1"/>
  <c r="G39" i="84"/>
  <c r="F72" i="84"/>
  <c r="F34" i="84"/>
  <c r="J140" i="69"/>
  <c r="J141" i="69" s="1"/>
  <c r="I5" i="70"/>
  <c r="H172" i="69"/>
  <c r="H14" i="70"/>
  <c r="H66" i="70" s="1"/>
  <c r="I169" i="69"/>
  <c r="I17" i="70" s="1"/>
  <c r="I69" i="70" s="1"/>
  <c r="L136" i="69"/>
  <c r="L138" i="69"/>
  <c r="L137" i="69"/>
  <c r="L139" i="69"/>
  <c r="F30" i="84"/>
  <c r="F33" i="84"/>
  <c r="F46" i="84" s="1"/>
  <c r="F45" i="84"/>
  <c r="J117" i="69"/>
  <c r="J162" i="69" s="1"/>
  <c r="J10" i="70" s="1"/>
  <c r="J112" i="69"/>
  <c r="J114" i="69"/>
  <c r="J159" i="69" s="1"/>
  <c r="J7" i="70" s="1"/>
  <c r="J113" i="69"/>
  <c r="J158" i="69" s="1"/>
  <c r="J6" i="70" s="1"/>
  <c r="J116" i="69"/>
  <c r="J161" i="69" s="1"/>
  <c r="J9" i="70" s="1"/>
  <c r="J115" i="69"/>
  <c r="J160" i="69" s="1"/>
  <c r="J8" i="70" s="1"/>
  <c r="J105" i="69"/>
  <c r="L81" i="69"/>
  <c r="L110" i="69" s="1"/>
  <c r="L80" i="69"/>
  <c r="L95" i="69"/>
  <c r="L102" i="69"/>
  <c r="H78" i="70"/>
  <c r="H85" i="70" s="1"/>
  <c r="H92" i="70" s="1"/>
  <c r="H112" i="70" s="1"/>
  <c r="J38" i="91"/>
  <c r="I42" i="91"/>
  <c r="I167" i="69"/>
  <c r="I15" i="70" s="1"/>
  <c r="I67" i="70" s="1"/>
  <c r="I168" i="69"/>
  <c r="I16" i="70" s="1"/>
  <c r="I68" i="70" s="1"/>
  <c r="I129" i="69"/>
  <c r="I130" i="69" s="1"/>
  <c r="I166" i="69"/>
  <c r="L135" i="69" l="1"/>
  <c r="I71" i="70"/>
  <c r="I80" i="70" s="1"/>
  <c r="I87" i="70" s="1"/>
  <c r="I94" i="70" s="1"/>
  <c r="I114" i="70" s="1"/>
  <c r="I163" i="69"/>
  <c r="I11" i="70" s="1"/>
  <c r="I12" i="70" s="1"/>
  <c r="K114" i="69"/>
  <c r="K159" i="69" s="1"/>
  <c r="K7" i="70" s="1"/>
  <c r="K117" i="69"/>
  <c r="K116" i="69"/>
  <c r="K161" i="69" s="1"/>
  <c r="K9" i="70" s="1"/>
  <c r="K83" i="69"/>
  <c r="K113" i="69"/>
  <c r="K158" i="69" s="1"/>
  <c r="K6" i="70" s="1"/>
  <c r="K112" i="69"/>
  <c r="K157" i="69" s="1"/>
  <c r="K162" i="69"/>
  <c r="K10" i="70" s="1"/>
  <c r="L83" i="69"/>
  <c r="L140" i="69"/>
  <c r="L141" i="69" s="1"/>
  <c r="K160" i="69"/>
  <c r="K8" i="70" s="1"/>
  <c r="G33" i="83"/>
  <c r="H46" i="83"/>
  <c r="H48" i="83" s="1"/>
  <c r="H53" i="83" s="1"/>
  <c r="H6" i="84" s="1"/>
  <c r="J35" i="91"/>
  <c r="H75" i="70"/>
  <c r="H82" i="70" s="1"/>
  <c r="H89" i="70" s="1"/>
  <c r="H109" i="70" s="1"/>
  <c r="H72" i="70"/>
  <c r="J41" i="91" s="1"/>
  <c r="K105" i="69"/>
  <c r="H94" i="81"/>
  <c r="H96" i="81" s="1"/>
  <c r="H173" i="69"/>
  <c r="H20" i="70"/>
  <c r="H21" i="70" s="1"/>
  <c r="F48" i="84"/>
  <c r="F49" i="84"/>
  <c r="F36" i="84"/>
  <c r="F37" i="84" s="1"/>
  <c r="F31" i="84"/>
  <c r="L115" i="69"/>
  <c r="L160" i="69" s="1"/>
  <c r="L8" i="70" s="1"/>
  <c r="L117" i="69"/>
  <c r="L162" i="69" s="1"/>
  <c r="L10" i="70" s="1"/>
  <c r="L112" i="69"/>
  <c r="L114" i="69"/>
  <c r="L159" i="69" s="1"/>
  <c r="L7" i="70" s="1"/>
  <c r="L113" i="69"/>
  <c r="L158" i="69" s="1"/>
  <c r="L6" i="70" s="1"/>
  <c r="L116" i="69"/>
  <c r="L161" i="69" s="1"/>
  <c r="L9" i="70" s="1"/>
  <c r="K126" i="69"/>
  <c r="K128" i="69"/>
  <c r="K123" i="69"/>
  <c r="K125" i="69"/>
  <c r="K124" i="69"/>
  <c r="K127" i="69"/>
  <c r="J170" i="69"/>
  <c r="J18" i="70" s="1"/>
  <c r="J70" i="70" s="1"/>
  <c r="K140" i="69"/>
  <c r="K141" i="69" s="1"/>
  <c r="H86" i="81"/>
  <c r="H52" i="84" s="1"/>
  <c r="J30" i="91" s="1"/>
  <c r="K36" i="91"/>
  <c r="I76" i="70"/>
  <c r="I83" i="70" s="1"/>
  <c r="I90" i="70" s="1"/>
  <c r="I110" i="70" s="1"/>
  <c r="G66" i="84"/>
  <c r="K147" i="69"/>
  <c r="K146" i="69"/>
  <c r="K150" i="69"/>
  <c r="K148" i="69"/>
  <c r="K149" i="69"/>
  <c r="K145" i="69"/>
  <c r="J167" i="69"/>
  <c r="J15" i="70" s="1"/>
  <c r="J67" i="70" s="1"/>
  <c r="H85" i="81"/>
  <c r="H51" i="84" s="1"/>
  <c r="J29" i="91" s="1"/>
  <c r="H89" i="81"/>
  <c r="J129" i="69"/>
  <c r="J130" i="69" s="1"/>
  <c r="J166" i="69"/>
  <c r="H90" i="81"/>
  <c r="H40" i="81"/>
  <c r="H37" i="81"/>
  <c r="H38" i="81" s="1"/>
  <c r="K39" i="91"/>
  <c r="I79" i="70"/>
  <c r="I86" i="70" s="1"/>
  <c r="I93" i="70" s="1"/>
  <c r="I113" i="70" s="1"/>
  <c r="L96" i="69"/>
  <c r="L104" i="69" s="1"/>
  <c r="L143" i="69" s="1"/>
  <c r="L103" i="69"/>
  <c r="L121" i="69" s="1"/>
  <c r="I172" i="69"/>
  <c r="I14" i="70"/>
  <c r="I66" i="70" s="1"/>
  <c r="K37" i="91"/>
  <c r="I77" i="70"/>
  <c r="I84" i="70" s="1"/>
  <c r="I91" i="70" s="1"/>
  <c r="I111" i="70" s="1"/>
  <c r="J168" i="69"/>
  <c r="J16" i="70" s="1"/>
  <c r="J68" i="70" s="1"/>
  <c r="K38" i="91"/>
  <c r="I78" i="70"/>
  <c r="I85" i="70" s="1"/>
  <c r="I92" i="70" s="1"/>
  <c r="I112" i="70" s="1"/>
  <c r="J171" i="69"/>
  <c r="J19" i="70" s="1"/>
  <c r="J71" i="70" s="1"/>
  <c r="J118" i="69"/>
  <c r="J119" i="69" s="1"/>
  <c r="J157" i="69"/>
  <c r="J151" i="69"/>
  <c r="J152" i="69" s="1"/>
  <c r="J169" i="69"/>
  <c r="J17" i="70" s="1"/>
  <c r="J69" i="70" s="1"/>
  <c r="I11" i="81"/>
  <c r="I14" i="81" s="1"/>
  <c r="I73" i="81" s="1"/>
  <c r="J8" i="81"/>
  <c r="K40" i="91" l="1"/>
  <c r="K118" i="69"/>
  <c r="K119" i="69" s="1"/>
  <c r="I164" i="69"/>
  <c r="I77" i="81"/>
  <c r="I82" i="81"/>
  <c r="K151" i="69"/>
  <c r="K152" i="69" s="1"/>
  <c r="H73" i="70"/>
  <c r="K168" i="69"/>
  <c r="K16" i="70" s="1"/>
  <c r="K68" i="70" s="1"/>
  <c r="M37" i="91" s="1"/>
  <c r="L105" i="69"/>
  <c r="K171" i="69"/>
  <c r="K19" i="70" s="1"/>
  <c r="K71" i="70" s="1"/>
  <c r="M40" i="91" s="1"/>
  <c r="J76" i="70"/>
  <c r="J83" i="70" s="1"/>
  <c r="J90" i="70" s="1"/>
  <c r="J110" i="70" s="1"/>
  <c r="L36" i="91"/>
  <c r="L157" i="69"/>
  <c r="L118" i="69"/>
  <c r="L119" i="69" s="1"/>
  <c r="J31" i="91"/>
  <c r="J78" i="70"/>
  <c r="J85" i="70" s="1"/>
  <c r="J92" i="70" s="1"/>
  <c r="J112" i="70" s="1"/>
  <c r="L38" i="91"/>
  <c r="K35" i="91"/>
  <c r="I75" i="70"/>
  <c r="I82" i="70" s="1"/>
  <c r="I89" i="70" s="1"/>
  <c r="I109" i="70" s="1"/>
  <c r="I72" i="70"/>
  <c r="K41" i="91" s="1"/>
  <c r="K167" i="69"/>
  <c r="K15" i="70" s="1"/>
  <c r="K67" i="70" s="1"/>
  <c r="J44" i="91"/>
  <c r="J42" i="91"/>
  <c r="J79" i="70"/>
  <c r="J86" i="70" s="1"/>
  <c r="J93" i="70" s="1"/>
  <c r="J113" i="70" s="1"/>
  <c r="L39" i="91"/>
  <c r="G39" i="83"/>
  <c r="G52" i="83" s="1"/>
  <c r="G5" i="84" s="1"/>
  <c r="G25" i="84" s="1"/>
  <c r="L126" i="69"/>
  <c r="L128" i="69"/>
  <c r="L123" i="69"/>
  <c r="L125" i="69"/>
  <c r="L124" i="69"/>
  <c r="L127" i="69"/>
  <c r="K129" i="69"/>
  <c r="K130" i="69" s="1"/>
  <c r="K166" i="69"/>
  <c r="I80" i="81"/>
  <c r="I20" i="70"/>
  <c r="I21" i="70" s="1"/>
  <c r="I173" i="69"/>
  <c r="L147" i="69"/>
  <c r="L148" i="69"/>
  <c r="L150" i="69"/>
  <c r="L146" i="69"/>
  <c r="L149" i="69"/>
  <c r="L145" i="69"/>
  <c r="K169" i="69"/>
  <c r="K17" i="70" s="1"/>
  <c r="K69" i="70" s="1"/>
  <c r="J77" i="70"/>
  <c r="J84" i="70" s="1"/>
  <c r="J91" i="70" s="1"/>
  <c r="J111" i="70" s="1"/>
  <c r="L37" i="91"/>
  <c r="I76" i="81"/>
  <c r="I33" i="81"/>
  <c r="I47" i="81"/>
  <c r="I32" i="81"/>
  <c r="I15" i="81"/>
  <c r="H27" i="83" s="1"/>
  <c r="I46" i="83" s="1"/>
  <c r="I36" i="81"/>
  <c r="I95" i="81" s="1"/>
  <c r="I35" i="81"/>
  <c r="I8" i="84"/>
  <c r="I34" i="81"/>
  <c r="J14" i="70"/>
  <c r="J172" i="69"/>
  <c r="K170" i="69"/>
  <c r="K18" i="70" s="1"/>
  <c r="K70" i="70" s="1"/>
  <c r="I79" i="81"/>
  <c r="J5" i="70"/>
  <c r="J163" i="69"/>
  <c r="K5" i="70"/>
  <c r="K163" i="69"/>
  <c r="L40" i="91"/>
  <c r="J80" i="70"/>
  <c r="J87" i="70" s="1"/>
  <c r="J94" i="70" s="1"/>
  <c r="J114" i="70" s="1"/>
  <c r="I83" i="81"/>
  <c r="I94" i="81" s="1"/>
  <c r="I96" i="81" s="1"/>
  <c r="I74" i="81"/>
  <c r="I70" i="81"/>
  <c r="H91" i="81"/>
  <c r="I71" i="81"/>
  <c r="H102" i="81"/>
  <c r="H43" i="84" s="1"/>
  <c r="H40" i="84"/>
  <c r="F54" i="84"/>
  <c r="F57" i="84" s="1"/>
  <c r="F63" i="84" s="1"/>
  <c r="F70" i="84" s="1"/>
  <c r="H33" i="83" l="1"/>
  <c r="H67" i="84"/>
  <c r="K80" i="70"/>
  <c r="K87" i="70" s="1"/>
  <c r="K94" i="70" s="1"/>
  <c r="K114" i="70" s="1"/>
  <c r="F56" i="84"/>
  <c r="F62" i="84" s="1"/>
  <c r="F71" i="84" s="1"/>
  <c r="K77" i="70"/>
  <c r="K84" i="70" s="1"/>
  <c r="K91" i="70" s="1"/>
  <c r="K111" i="70" s="1"/>
  <c r="L169" i="69"/>
  <c r="L17" i="70" s="1"/>
  <c r="L69" i="70" s="1"/>
  <c r="L78" i="70" s="1"/>
  <c r="L85" i="70" s="1"/>
  <c r="L92" i="70" s="1"/>
  <c r="L112" i="70" s="1"/>
  <c r="L123" i="70" s="1"/>
  <c r="M123" i="70" s="1"/>
  <c r="O123" i="70" s="1"/>
  <c r="L168" i="69"/>
  <c r="L16" i="70" s="1"/>
  <c r="L68" i="70" s="1"/>
  <c r="N37" i="91" s="1"/>
  <c r="J66" i="70"/>
  <c r="L35" i="91" s="1"/>
  <c r="M39" i="91"/>
  <c r="K79" i="70"/>
  <c r="K86" i="70" s="1"/>
  <c r="K93" i="70" s="1"/>
  <c r="K113" i="70" s="1"/>
  <c r="I73" i="70"/>
  <c r="G28" i="84"/>
  <c r="G29" i="84"/>
  <c r="G35" i="84" s="1"/>
  <c r="G73" i="84" s="1"/>
  <c r="G27" i="84"/>
  <c r="K14" i="70"/>
  <c r="K66" i="70" s="1"/>
  <c r="K172" i="69"/>
  <c r="K11" i="70"/>
  <c r="K12" i="70" s="1"/>
  <c r="K164" i="69"/>
  <c r="L151" i="69"/>
  <c r="L152" i="69" s="1"/>
  <c r="L5" i="70"/>
  <c r="L163" i="69"/>
  <c r="H39" i="83"/>
  <c r="H52" i="83" s="1"/>
  <c r="H5" i="84" s="1"/>
  <c r="H25" i="84" s="1"/>
  <c r="I48" i="83"/>
  <c r="I53" i="83" s="1"/>
  <c r="I6" i="84" s="1"/>
  <c r="L170" i="69"/>
  <c r="L18" i="70" s="1"/>
  <c r="L70" i="70" s="1"/>
  <c r="J173" i="69"/>
  <c r="J20" i="70"/>
  <c r="J21" i="70" s="1"/>
  <c r="I90" i="81"/>
  <c r="I40" i="81"/>
  <c r="I37" i="81"/>
  <c r="I38" i="81" s="1"/>
  <c r="L167" i="69"/>
  <c r="L15" i="70" s="1"/>
  <c r="L67" i="70" s="1"/>
  <c r="I102" i="81"/>
  <c r="I43" i="84" s="1"/>
  <c r="I40" i="84"/>
  <c r="J75" i="70"/>
  <c r="J82" i="70" s="1"/>
  <c r="J89" i="70" s="1"/>
  <c r="J109" i="70" s="1"/>
  <c r="M38" i="91"/>
  <c r="K78" i="70"/>
  <c r="K85" i="70" s="1"/>
  <c r="K92" i="70" s="1"/>
  <c r="K112" i="70" s="1"/>
  <c r="I86" i="81"/>
  <c r="I52" i="84" s="1"/>
  <c r="K30" i="91" s="1"/>
  <c r="H101" i="81"/>
  <c r="H42" i="84" s="1"/>
  <c r="H39" i="84"/>
  <c r="L129" i="69"/>
  <c r="L130" i="69" s="1"/>
  <c r="L166" i="69"/>
  <c r="K44" i="91"/>
  <c r="K42" i="91"/>
  <c r="J164" i="69"/>
  <c r="J11" i="70"/>
  <c r="J12" i="70" s="1"/>
  <c r="M36" i="91"/>
  <c r="K76" i="70"/>
  <c r="K83" i="70" s="1"/>
  <c r="K90" i="70" s="1"/>
  <c r="K110" i="70" s="1"/>
  <c r="I85" i="81"/>
  <c r="I51" i="84" s="1"/>
  <c r="K29" i="91" s="1"/>
  <c r="I89" i="81"/>
  <c r="L171" i="69"/>
  <c r="L19" i="70" s="1"/>
  <c r="L71" i="70" s="1"/>
  <c r="J11" i="81"/>
  <c r="J14" i="81" s="1"/>
  <c r="J76" i="81" s="1"/>
  <c r="K8" i="81"/>
  <c r="I67" i="84" l="1"/>
  <c r="H66" i="84"/>
  <c r="N38" i="91"/>
  <c r="J72" i="70"/>
  <c r="L41" i="91" s="1"/>
  <c r="L77" i="70"/>
  <c r="L84" i="70" s="1"/>
  <c r="L91" i="70" s="1"/>
  <c r="L111" i="70" s="1"/>
  <c r="L122" i="70" s="1"/>
  <c r="M122" i="70" s="1"/>
  <c r="O122" i="70" s="1"/>
  <c r="O9" i="91" s="1"/>
  <c r="J80" i="81"/>
  <c r="L79" i="70"/>
  <c r="L86" i="70" s="1"/>
  <c r="L93" i="70" s="1"/>
  <c r="L113" i="70" s="1"/>
  <c r="L124" i="70" s="1"/>
  <c r="M124" i="70" s="1"/>
  <c r="O124" i="70" s="1"/>
  <c r="N39" i="91"/>
  <c r="J70" i="81"/>
  <c r="L42" i="91"/>
  <c r="L44" i="91"/>
  <c r="I91" i="81"/>
  <c r="G72" i="84"/>
  <c r="G34" i="84"/>
  <c r="H131" i="70"/>
  <c r="O10" i="91"/>
  <c r="M35" i="91"/>
  <c r="K75" i="70"/>
  <c r="K82" i="70" s="1"/>
  <c r="K89" i="70" s="1"/>
  <c r="K109" i="70" s="1"/>
  <c r="K72" i="70"/>
  <c r="M41" i="91" s="1"/>
  <c r="L14" i="70"/>
  <c r="L66" i="70" s="1"/>
  <c r="L172" i="69"/>
  <c r="H29" i="84"/>
  <c r="H35" i="84" s="1"/>
  <c r="H73" i="84" s="1"/>
  <c r="H88" i="84" s="1"/>
  <c r="H27" i="84"/>
  <c r="H28" i="84"/>
  <c r="J74" i="81"/>
  <c r="K173" i="69"/>
  <c r="K20" i="70"/>
  <c r="K21" i="70" s="1"/>
  <c r="G45" i="84"/>
  <c r="G30" i="84"/>
  <c r="G33" i="84"/>
  <c r="G46" i="84" s="1"/>
  <c r="L11" i="70"/>
  <c r="L12" i="70" s="1"/>
  <c r="L164" i="69"/>
  <c r="J83" i="81"/>
  <c r="J32" i="81"/>
  <c r="J34" i="81"/>
  <c r="J35" i="81"/>
  <c r="J8" i="84"/>
  <c r="J33" i="81"/>
  <c r="J15" i="81"/>
  <c r="I27" i="83" s="1"/>
  <c r="J47" i="81"/>
  <c r="J36" i="81"/>
  <c r="J95" i="81" s="1"/>
  <c r="J73" i="81"/>
  <c r="J77" i="81"/>
  <c r="J82" i="81"/>
  <c r="J73" i="70"/>
  <c r="L80" i="70"/>
  <c r="L87" i="70" s="1"/>
  <c r="L94" i="70" s="1"/>
  <c r="L114" i="70" s="1"/>
  <c r="L125" i="70" s="1"/>
  <c r="M125" i="70" s="1"/>
  <c r="O125" i="70" s="1"/>
  <c r="N40" i="91"/>
  <c r="K31" i="91"/>
  <c r="J79" i="81"/>
  <c r="J71" i="81"/>
  <c r="L76" i="70"/>
  <c r="L83" i="70" s="1"/>
  <c r="L90" i="70" s="1"/>
  <c r="L110" i="70" s="1"/>
  <c r="L121" i="70" s="1"/>
  <c r="M121" i="70" s="1"/>
  <c r="O121" i="70" s="1"/>
  <c r="N36" i="91"/>
  <c r="K11" i="81"/>
  <c r="K14" i="81" s="1"/>
  <c r="H130" i="70" l="1"/>
  <c r="K79" i="81"/>
  <c r="K74" i="81"/>
  <c r="J10" i="91"/>
  <c r="I131" i="70"/>
  <c r="I130" i="70"/>
  <c r="J9" i="91"/>
  <c r="K47" i="81"/>
  <c r="K32" i="81"/>
  <c r="K33" i="81"/>
  <c r="K35" i="81"/>
  <c r="K8" i="84"/>
  <c r="K34" i="81"/>
  <c r="K36" i="81"/>
  <c r="K95" i="81" s="1"/>
  <c r="K15" i="81"/>
  <c r="J27" i="83" s="1"/>
  <c r="J90" i="81"/>
  <c r="J37" i="81"/>
  <c r="J38" i="81" s="1"/>
  <c r="J40" i="81"/>
  <c r="J94" i="81"/>
  <c r="J96" i="81" s="1"/>
  <c r="K83" i="81"/>
  <c r="L20" i="70"/>
  <c r="L21" i="70" s="1"/>
  <c r="L173" i="69"/>
  <c r="H72" i="84"/>
  <c r="H87" i="84" s="1"/>
  <c r="H34" i="84"/>
  <c r="K70" i="81"/>
  <c r="J89" i="81"/>
  <c r="J85" i="81"/>
  <c r="J51" i="84" s="1"/>
  <c r="L29" i="91" s="1"/>
  <c r="I33" i="83"/>
  <c r="J46" i="83"/>
  <c r="O14" i="91"/>
  <c r="H133" i="70"/>
  <c r="L72" i="70"/>
  <c r="N41" i="91" s="1"/>
  <c r="L75" i="70"/>
  <c r="L82" i="70" s="1"/>
  <c r="N35" i="91"/>
  <c r="M42" i="91"/>
  <c r="M44" i="91"/>
  <c r="K73" i="81"/>
  <c r="H132" i="70"/>
  <c r="O13" i="91"/>
  <c r="K82" i="81"/>
  <c r="K73" i="70"/>
  <c r="K80" i="81"/>
  <c r="H45" i="84"/>
  <c r="H33" i="84"/>
  <c r="H46" i="84" s="1"/>
  <c r="H30" i="84"/>
  <c r="I101" i="81"/>
  <c r="I42" i="84" s="1"/>
  <c r="I39" i="84"/>
  <c r="K77" i="81"/>
  <c r="G49" i="84"/>
  <c r="G48" i="84"/>
  <c r="H129" i="70"/>
  <c r="O8" i="91"/>
  <c r="G36" i="84"/>
  <c r="G37" i="84" s="1"/>
  <c r="G31" i="84"/>
  <c r="J86" i="81"/>
  <c r="J52" i="84" s="1"/>
  <c r="L30" i="91" s="1"/>
  <c r="K71" i="81"/>
  <c r="K76" i="81"/>
  <c r="L8" i="81"/>
  <c r="L11" i="81"/>
  <c r="G54" i="84" l="1"/>
  <c r="G57" i="84" s="1"/>
  <c r="G63" i="84" s="1"/>
  <c r="G70" i="84" s="1"/>
  <c r="J91" i="81"/>
  <c r="L73" i="70"/>
  <c r="N42" i="91"/>
  <c r="J39" i="84"/>
  <c r="J101" i="81"/>
  <c r="J42" i="84" s="1"/>
  <c r="L14" i="81"/>
  <c r="L80" i="81" s="1"/>
  <c r="I66" i="84"/>
  <c r="K89" i="81"/>
  <c r="K85" i="81"/>
  <c r="K51" i="84" s="1"/>
  <c r="M29" i="91" s="1"/>
  <c r="M31" i="91" s="1"/>
  <c r="L70" i="81"/>
  <c r="H48" i="84"/>
  <c r="H49" i="84"/>
  <c r="H31" i="84"/>
  <c r="H36" i="84"/>
  <c r="H37" i="84" s="1"/>
  <c r="K86" i="81"/>
  <c r="K52" i="84" s="1"/>
  <c r="M30" i="91" s="1"/>
  <c r="N44" i="91"/>
  <c r="I133" i="70"/>
  <c r="J14" i="91"/>
  <c r="K37" i="81"/>
  <c r="K38" i="81" s="1"/>
  <c r="K90" i="81"/>
  <c r="K40" i="81"/>
  <c r="K94" i="81"/>
  <c r="K96" i="81" s="1"/>
  <c r="L83" i="81"/>
  <c r="L94" i="81" s="1"/>
  <c r="J102" i="81"/>
  <c r="J43" i="84" s="1"/>
  <c r="J40" i="84"/>
  <c r="K9" i="91"/>
  <c r="J130" i="70"/>
  <c r="J8" i="91"/>
  <c r="I129" i="70"/>
  <c r="K10" i="91"/>
  <c r="J131" i="70"/>
  <c r="M75" i="70"/>
  <c r="L89" i="70"/>
  <c r="L109" i="70" s="1"/>
  <c r="L120" i="70" s="1"/>
  <c r="M120" i="70" s="1"/>
  <c r="O120" i="70" s="1"/>
  <c r="J48" i="83"/>
  <c r="J53" i="83" s="1"/>
  <c r="J6" i="84" s="1"/>
  <c r="K46" i="83"/>
  <c r="K48" i="83" s="1"/>
  <c r="K53" i="83" s="1"/>
  <c r="K6" i="84" s="1"/>
  <c r="J13" i="91"/>
  <c r="I132" i="70"/>
  <c r="I39" i="83"/>
  <c r="I52" i="83" s="1"/>
  <c r="I5" i="84" s="1"/>
  <c r="I25" i="84" s="1"/>
  <c r="J33" i="83"/>
  <c r="L31" i="91"/>
  <c r="G56" i="84" l="1"/>
  <c r="G62" i="84" s="1"/>
  <c r="G71" i="84" s="1"/>
  <c r="L76" i="81"/>
  <c r="L73" i="81"/>
  <c r="L85" i="81" s="1"/>
  <c r="L51" i="84" s="1"/>
  <c r="N29" i="91" s="1"/>
  <c r="J67" i="84"/>
  <c r="H54" i="84"/>
  <c r="H56" i="84" s="1"/>
  <c r="H62" i="84" s="1"/>
  <c r="H71" i="84" s="1"/>
  <c r="H86" i="84" s="1"/>
  <c r="L10" i="91"/>
  <c r="K131" i="70"/>
  <c r="K40" i="84"/>
  <c r="K102" i="81"/>
  <c r="K43" i="84" s="1"/>
  <c r="K14" i="91"/>
  <c r="J133" i="70"/>
  <c r="K91" i="81"/>
  <c r="J39" i="83"/>
  <c r="J52" i="83" s="1"/>
  <c r="J5" i="84" s="1"/>
  <c r="J25" i="84" s="1"/>
  <c r="L9" i="91"/>
  <c r="K130" i="70"/>
  <c r="L89" i="81"/>
  <c r="L8" i="84"/>
  <c r="L35" i="81"/>
  <c r="L15" i="81"/>
  <c r="K27" i="83" s="1"/>
  <c r="L46" i="83" s="1"/>
  <c r="L48" i="83" s="1"/>
  <c r="L53" i="83" s="1"/>
  <c r="L6" i="84" s="1"/>
  <c r="L47" i="81"/>
  <c r="L32" i="81"/>
  <c r="L36" i="81"/>
  <c r="L95" i="81" s="1"/>
  <c r="L96" i="81" s="1"/>
  <c r="L34" i="81"/>
  <c r="L33" i="81"/>
  <c r="L74" i="81"/>
  <c r="L79" i="81"/>
  <c r="L77" i="81"/>
  <c r="J129" i="70"/>
  <c r="K8" i="91"/>
  <c r="I28" i="84"/>
  <c r="I27" i="84"/>
  <c r="I29" i="84"/>
  <c r="I35" i="84" s="1"/>
  <c r="I73" i="84" s="1"/>
  <c r="I88" i="84" s="1"/>
  <c r="J132" i="70"/>
  <c r="K13" i="91"/>
  <c r="L71" i="81"/>
  <c r="O7" i="91"/>
  <c r="H128" i="70"/>
  <c r="L82" i="81"/>
  <c r="J66" i="84"/>
  <c r="L90" i="81" l="1"/>
  <c r="H57" i="84"/>
  <c r="H63" i="84" s="1"/>
  <c r="H70" i="84" s="1"/>
  <c r="H85" i="84" s="1"/>
  <c r="L86" i="81"/>
  <c r="L52" i="84" s="1"/>
  <c r="N30" i="91" s="1"/>
  <c r="N31" i="91" s="1"/>
  <c r="L40" i="81"/>
  <c r="K33" i="83"/>
  <c r="L13" i="91"/>
  <c r="K132" i="70"/>
  <c r="L37" i="81"/>
  <c r="L38" i="81" s="1"/>
  <c r="K133" i="70"/>
  <c r="L14" i="91"/>
  <c r="L33" i="83"/>
  <c r="L39" i="83" s="1"/>
  <c r="L52" i="83" s="1"/>
  <c r="L5" i="84" s="1"/>
  <c r="L25" i="84" s="1"/>
  <c r="K39" i="83"/>
  <c r="K52" i="83" s="1"/>
  <c r="K5" i="84" s="1"/>
  <c r="K25" i="84" s="1"/>
  <c r="J28" i="84"/>
  <c r="J27" i="84"/>
  <c r="J29" i="84"/>
  <c r="J35" i="84" s="1"/>
  <c r="J73" i="84" s="1"/>
  <c r="J88" i="84" s="1"/>
  <c r="K101" i="81"/>
  <c r="K42" i="84" s="1"/>
  <c r="K39" i="84"/>
  <c r="I30" i="84"/>
  <c r="I45" i="84"/>
  <c r="I33" i="84"/>
  <c r="I46" i="84" s="1"/>
  <c r="K67" i="84"/>
  <c r="J7" i="91"/>
  <c r="I128" i="70"/>
  <c r="I34" i="84"/>
  <c r="I72" i="84"/>
  <c r="I87" i="84" s="1"/>
  <c r="K129" i="70"/>
  <c r="L8" i="91"/>
  <c r="M10" i="91"/>
  <c r="L131" i="70"/>
  <c r="L130" i="70"/>
  <c r="M9" i="91"/>
  <c r="L102" i="81"/>
  <c r="L43" i="84" s="1"/>
  <c r="L40" i="84"/>
  <c r="L91" i="81"/>
  <c r="L67" i="84" l="1"/>
  <c r="M8" i="91"/>
  <c r="L129" i="70"/>
  <c r="L27" i="84"/>
  <c r="L28" i="84"/>
  <c r="L29" i="84"/>
  <c r="L35" i="84" s="1"/>
  <c r="L73" i="84" s="1"/>
  <c r="L88" i="84" s="1"/>
  <c r="N10" i="91"/>
  <c r="O131" i="70"/>
  <c r="K66" i="84"/>
  <c r="J34" i="84"/>
  <c r="J72" i="84"/>
  <c r="J87" i="84" s="1"/>
  <c r="L101" i="81"/>
  <c r="L42" i="84" s="1"/>
  <c r="L39" i="84"/>
  <c r="M14" i="91"/>
  <c r="L133" i="70"/>
  <c r="K29" i="84"/>
  <c r="K35" i="84" s="1"/>
  <c r="K73" i="84" s="1"/>
  <c r="K88" i="84" s="1"/>
  <c r="K28" i="84"/>
  <c r="K27" i="84"/>
  <c r="I48" i="84"/>
  <c r="I49" i="84"/>
  <c r="I54" i="84" s="1"/>
  <c r="I56" i="84" s="1"/>
  <c r="I62" i="84" s="1"/>
  <c r="I71" i="84" s="1"/>
  <c r="I86" i="84" s="1"/>
  <c r="M13" i="91"/>
  <c r="L132" i="70"/>
  <c r="J30" i="84"/>
  <c r="J45" i="84"/>
  <c r="J33" i="84"/>
  <c r="J46" i="84" s="1"/>
  <c r="K7" i="91"/>
  <c r="J128" i="70"/>
  <c r="N9" i="91"/>
  <c r="O130" i="70"/>
  <c r="I31" i="84"/>
  <c r="I36" i="84"/>
  <c r="I37" i="84" s="1"/>
  <c r="L66" i="84" l="1"/>
  <c r="J31" i="84"/>
  <c r="J36" i="84"/>
  <c r="J37" i="84" s="1"/>
  <c r="K128" i="70"/>
  <c r="L7" i="91"/>
  <c r="N13" i="91"/>
  <c r="O132" i="70"/>
  <c r="I57" i="84"/>
  <c r="I63" i="84" s="1"/>
  <c r="I70" i="84" s="1"/>
  <c r="I85" i="84" s="1"/>
  <c r="K45" i="84"/>
  <c r="K30" i="84"/>
  <c r="K33" i="84"/>
  <c r="K46" i="84" s="1"/>
  <c r="N8" i="91"/>
  <c r="O129" i="70"/>
  <c r="L97" i="84"/>
  <c r="N97" i="84" s="1"/>
  <c r="N103" i="84"/>
  <c r="K72" i="84"/>
  <c r="K87" i="84" s="1"/>
  <c r="K34" i="84"/>
  <c r="L72" i="84"/>
  <c r="L87" i="84" s="1"/>
  <c r="L34" i="84"/>
  <c r="L30" i="84"/>
  <c r="L45" i="84"/>
  <c r="L33" i="84"/>
  <c r="L46" i="84" s="1"/>
  <c r="O133" i="70"/>
  <c r="N14" i="91"/>
  <c r="J48" i="84"/>
  <c r="J49" i="84"/>
  <c r="J54" i="84" l="1"/>
  <c r="J56" i="84" s="1"/>
  <c r="J62" i="84" s="1"/>
  <c r="J71" i="84" s="1"/>
  <c r="J86" i="84" s="1"/>
  <c r="L31" i="84"/>
  <c r="L36" i="84"/>
  <c r="L37" i="84" s="1"/>
  <c r="K48" i="84"/>
  <c r="K49" i="84"/>
  <c r="N102" i="84"/>
  <c r="L96" i="84"/>
  <c r="N96" i="84" s="1"/>
  <c r="L48" i="84"/>
  <c r="L49" i="84"/>
  <c r="K36" i="84"/>
  <c r="K37" i="84" s="1"/>
  <c r="K31" i="84"/>
  <c r="K54" i="84"/>
  <c r="K57" i="84" s="1"/>
  <c r="K63" i="84" s="1"/>
  <c r="K70" i="84" s="1"/>
  <c r="K85" i="84" s="1"/>
  <c r="M7" i="91"/>
  <c r="L128" i="70"/>
  <c r="J57" i="84" l="1"/>
  <c r="J63" i="84" s="1"/>
  <c r="J70" i="84" s="1"/>
  <c r="J85" i="84" s="1"/>
  <c r="L54" i="84"/>
  <c r="L56" i="84" s="1"/>
  <c r="L62" i="84" s="1"/>
  <c r="L71" i="84" s="1"/>
  <c r="L86" i="84" s="1"/>
  <c r="L95" i="84" s="1"/>
  <c r="N95" i="84" s="1"/>
  <c r="O95" i="84" s="1"/>
  <c r="O18" i="91" s="1"/>
  <c r="K56" i="84"/>
  <c r="K62" i="84" s="1"/>
  <c r="K71" i="84" s="1"/>
  <c r="K86" i="84" s="1"/>
  <c r="O128" i="70"/>
  <c r="N7" i="91"/>
  <c r="L57" i="84" l="1"/>
  <c r="N57" i="84" s="1"/>
  <c r="H101" i="84"/>
  <c r="I101" i="84" s="1"/>
  <c r="L63" i="84"/>
  <c r="L70" i="84" s="1"/>
  <c r="L85" i="84" s="1"/>
  <c r="L94" i="84" s="1"/>
  <c r="N94" i="84" s="1"/>
  <c r="O94" i="84" s="1"/>
  <c r="J18" i="91" l="1"/>
  <c r="J101" i="84"/>
  <c r="K18" i="91"/>
  <c r="H100" i="84"/>
  <c r="O17" i="91"/>
  <c r="J17" i="91" l="1"/>
  <c r="J22" i="91" s="1"/>
  <c r="I100" i="84"/>
  <c r="K101" i="84"/>
  <c r="L18" i="91"/>
  <c r="M18" i="91" l="1"/>
  <c r="L101" i="84"/>
  <c r="K17" i="91"/>
  <c r="K22" i="91" s="1"/>
  <c r="J100" i="84"/>
  <c r="L17" i="91" l="1"/>
  <c r="L22" i="91" s="1"/>
  <c r="K100" i="84"/>
  <c r="N101" i="84"/>
  <c r="N18" i="91"/>
  <c r="M17" i="91" l="1"/>
  <c r="M22" i="91" s="1"/>
  <c r="L100" i="84"/>
  <c r="N17" i="91" l="1"/>
  <c r="N22" i="91" s="1"/>
  <c r="N100" i="8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<sst xmlns="http://schemas.openxmlformats.org/spreadsheetml/2006/main" count="1013" uniqueCount="431">
  <si>
    <t>Sub-total</t>
  </si>
  <si>
    <t>Total</t>
  </si>
  <si>
    <t>WACC</t>
  </si>
  <si>
    <t>FAC</t>
  </si>
  <si>
    <t>NCA</t>
  </si>
  <si>
    <t>Total MCE</t>
  </si>
  <si>
    <t>HG/L</t>
  </si>
  <si>
    <t>Other CCA</t>
  </si>
  <si>
    <t>Lead-in duct</t>
  </si>
  <si>
    <t>Spine duct – single bore</t>
  </si>
  <si>
    <t>Spine duct – 2 bores</t>
  </si>
  <si>
    <t>Spine duct – 3+ bores</t>
  </si>
  <si>
    <t>Joint boxes</t>
  </si>
  <si>
    <t>Manholes</t>
  </si>
  <si>
    <t>Poles</t>
  </si>
  <si>
    <t>Unit costs</t>
  </si>
  <si>
    <t>DP poles - pure</t>
  </si>
  <si>
    <t>DP poles - mixed</t>
  </si>
  <si>
    <t>Feeder poles - pure</t>
  </si>
  <si>
    <t>Feeder poles - mixed</t>
  </si>
  <si>
    <t>Cable poles</t>
  </si>
  <si>
    <t>Value</t>
  </si>
  <si>
    <t>Date</t>
  </si>
  <si>
    <t>Other COWs</t>
  </si>
  <si>
    <t>Total CCA Costs</t>
  </si>
  <si>
    <t>MCE</t>
  </si>
  <si>
    <t>Volumes</t>
  </si>
  <si>
    <t>Duct</t>
  </si>
  <si>
    <t>Network adjustment costs</t>
  </si>
  <si>
    <t>Single-premise</t>
  </si>
  <si>
    <t>Multi-premise</t>
  </si>
  <si>
    <t>Unit</t>
  </si>
  <si>
    <t>Units</t>
  </si>
  <si>
    <t>kms</t>
  </si>
  <si>
    <t>units</t>
  </si>
  <si>
    <t>Measure</t>
  </si>
  <si>
    <t>2022/23</t>
  </si>
  <si>
    <t>2023/24</t>
  </si>
  <si>
    <t>Check</t>
  </si>
  <si>
    <t>2025/26</t>
  </si>
  <si>
    <t>2024/25</t>
  </si>
  <si>
    <t>Comments</t>
  </si>
  <si>
    <t>Mean NRC</t>
  </si>
  <si>
    <t>Other Dep</t>
  </si>
  <si>
    <t>NRC (main COW)</t>
  </si>
  <si>
    <t>Pay &amp; non-pay costs</t>
  </si>
  <si>
    <t>Net Asset registrations</t>
  </si>
  <si>
    <t>OCM depreciation</t>
  </si>
  <si>
    <t>Price movement</t>
  </si>
  <si>
    <t>Opening GRC</t>
  </si>
  <si>
    <t>Write outs and Other adjs</t>
  </si>
  <si>
    <t>Closing GRC</t>
  </si>
  <si>
    <t>Closing NRC</t>
  </si>
  <si>
    <t>Forecasting</t>
  </si>
  <si>
    <t>Forecasts</t>
  </si>
  <si>
    <t>Calculated asset life</t>
  </si>
  <si>
    <t>OCM Dep</t>
  </si>
  <si>
    <t>Mean GRC</t>
  </si>
  <si>
    <t>Assume no disposals</t>
  </si>
  <si>
    <t>Assets - GRC</t>
  </si>
  <si>
    <t>Assets - NRC</t>
  </si>
  <si>
    <t>Duct and Chambers Cost Forecasts</t>
  </si>
  <si>
    <t>Outputs for Duct and Chambers Forecasting</t>
  </si>
  <si>
    <t>Assets post 31/3/2018</t>
  </si>
  <si>
    <t>Assets registered post 31/3/2018</t>
  </si>
  <si>
    <t>Total Pre 31/3/2018</t>
  </si>
  <si>
    <t>Volume Growth</t>
  </si>
  <si>
    <t>LDD forecasts</t>
  </si>
  <si>
    <t>Final LDD forecasts</t>
  </si>
  <si>
    <t>Assets pre 31/3/2018</t>
  </si>
  <si>
    <t>D&amp;C Attribution Bases</t>
  </si>
  <si>
    <t>Totals</t>
  </si>
  <si>
    <t>Current Charges</t>
  </si>
  <si>
    <t>Modelled Charges</t>
  </si>
  <si>
    <t>Outputs for Forecasts</t>
  </si>
  <si>
    <t>Duct network adjustments - Additions</t>
  </si>
  <si>
    <t>All Assets</t>
  </si>
  <si>
    <t>Mid Year volume</t>
  </si>
  <si>
    <t>New Assets</t>
  </si>
  <si>
    <t>Opening NRC</t>
  </si>
  <si>
    <t>Forecast Unit Costs</t>
  </si>
  <si>
    <t>Cumulative index</t>
  </si>
  <si>
    <t>Indexation Assumptions</t>
  </si>
  <si>
    <t>Assume flat : mix of BDUK &amp; other assets</t>
  </si>
  <si>
    <t>Attribute to</t>
  </si>
  <si>
    <t>Total DP Poles</t>
  </si>
  <si>
    <t>Single</t>
  </si>
  <si>
    <t>Multi</t>
  </si>
  <si>
    <t>Total Pure Poles</t>
  </si>
  <si>
    <t>Attachments/Pole</t>
  </si>
  <si>
    <t>All Pure Attachmnts</t>
  </si>
  <si>
    <t>PIA attachments /pole</t>
  </si>
  <si>
    <t>Cable multi attachmnts</t>
  </si>
  <si>
    <t>Total attachments</t>
  </si>
  <si>
    <t>Total Attachments/pole</t>
  </si>
  <si>
    <t>OR Attachments/pole</t>
  </si>
  <si>
    <t>Type of Pole</t>
  </si>
  <si>
    <t>Forecasts of poles by type and total DP poles</t>
  </si>
  <si>
    <t>Poles Cost Forecasts</t>
  </si>
  <si>
    <t>Index from 2021/22</t>
  </si>
  <si>
    <r>
      <rPr>
        <sz val="11"/>
        <color theme="1"/>
        <rFont val="Calibri"/>
        <family val="2"/>
      </rPr>
      <t xml:space="preserve">£ </t>
    </r>
    <r>
      <rPr>
        <sz val="11"/>
        <color theme="1"/>
        <rFont val="Calibri"/>
        <family val="2"/>
        <scheme val="minor"/>
      </rPr>
      <t>per pole</t>
    </r>
  </si>
  <si>
    <t>Facility on pole for Single end-user attachment</t>
  </si>
  <si>
    <t>Facility on pole for Multi-end user attachment</t>
  </si>
  <si>
    <r>
      <rPr>
        <sz val="11"/>
        <color theme="1"/>
        <rFont val="Calibri"/>
        <family val="2"/>
      </rPr>
      <t xml:space="preserve">£ </t>
    </r>
    <r>
      <rPr>
        <sz val="11"/>
        <color theme="1"/>
        <rFont val="Calibri"/>
        <family val="2"/>
        <scheme val="minor"/>
      </rPr>
      <t>per connection</t>
    </r>
  </si>
  <si>
    <r>
      <rPr>
        <sz val="11"/>
        <color theme="1"/>
        <rFont val="Calibri"/>
        <family val="2"/>
      </rPr>
      <t xml:space="preserve">£ </t>
    </r>
    <r>
      <rPr>
        <sz val="11"/>
        <color theme="1"/>
        <rFont val="Calibri"/>
        <family val="2"/>
        <scheme val="minor"/>
      </rPr>
      <t>per metre</t>
    </r>
  </si>
  <si>
    <t>Footway Boxes</t>
  </si>
  <si>
    <t>£ per entry</t>
  </si>
  <si>
    <t>£ per cable</t>
  </si>
  <si>
    <t>Years &gt;&gt;&gt;&gt;&gt;</t>
  </si>
  <si>
    <t>Facilities on pole</t>
  </si>
  <si>
    <t>Installed base volumes</t>
  </si>
  <si>
    <t>Opex</t>
  </si>
  <si>
    <t>Lead-ins</t>
  </si>
  <si>
    <t xml:space="preserve">LDD Costs </t>
  </si>
  <si>
    <t>CPI</t>
  </si>
  <si>
    <t>Duct and Chambers</t>
  </si>
  <si>
    <t>End Year vols</t>
  </si>
  <si>
    <t>Duct and Chambers Inputs</t>
  </si>
  <si>
    <t>Historical Prices</t>
  </si>
  <si>
    <t>Parameters and Assumptions</t>
  </si>
  <si>
    <t>Style Guidelines</t>
  </si>
  <si>
    <t>Output</t>
  </si>
  <si>
    <t>Duct and Chambers Volume Forecasts</t>
  </si>
  <si>
    <t>Pole volume forecasts</t>
  </si>
  <si>
    <t>Proportions</t>
  </si>
  <si>
    <t>Forecasts of OR manifolds</t>
  </si>
  <si>
    <t>Attribute on the basis of LDD MCE</t>
  </si>
  <si>
    <t>Attribute on the basis of OCM depreciation</t>
  </si>
  <si>
    <t>From LDD forecasts</t>
  </si>
  <si>
    <t>Assumptions</t>
  </si>
  <si>
    <t>Cost forecasting assumptions</t>
  </si>
  <si>
    <t>Forecast duct and chambers costs</t>
  </si>
  <si>
    <t>Operating Costs</t>
  </si>
  <si>
    <t>Mean Capital Employed</t>
  </si>
  <si>
    <t>Summarise and attribute to components</t>
  </si>
  <si>
    <t>Output panel for next sheet</t>
  </si>
  <si>
    <t>Output panel</t>
  </si>
  <si>
    <t xml:space="preserve">Input Volumes, forecast unit costs and forecast net additions </t>
  </si>
  <si>
    <t>Forecast Installation Volumes</t>
  </si>
  <si>
    <t>Poles capex forecasts</t>
  </si>
  <si>
    <t>Calculate totals GRCs, NRCs and OCM depreciation and form output panel</t>
  </si>
  <si>
    <t>Forecast poles costs</t>
  </si>
  <si>
    <t>Costs and volume data and other assumptions</t>
  </si>
  <si>
    <t>Calculate unit costs and charges</t>
  </si>
  <si>
    <t>Raw Charges</t>
  </si>
  <si>
    <t>(rounded to 2sf)</t>
  </si>
  <si>
    <t>Simplified underground lead-in volume assumptions</t>
  </si>
  <si>
    <t>Calculate Xs</t>
  </si>
  <si>
    <t>Start and end prices</t>
  </si>
  <si>
    <t>Start price</t>
  </si>
  <si>
    <t>End price</t>
  </si>
  <si>
    <t>Change as index</t>
  </si>
  <si>
    <t>Implied X</t>
  </si>
  <si>
    <t>Prices in each year</t>
  </si>
  <si>
    <t>Modelled prices to nearest penny</t>
  </si>
  <si>
    <t>Costs, volumes &amp; other assumptions</t>
  </si>
  <si>
    <t>Duct and chambers forecast unit costs, charges and Xs</t>
  </si>
  <si>
    <t>Charges as share of unit cost</t>
  </si>
  <si>
    <t>Unit cost (per pole)</t>
  </si>
  <si>
    <t>Summary of Modelled Charges</t>
  </si>
  <si>
    <t>Assume no new registrations</t>
  </si>
  <si>
    <t>Assume no CCA adjustments</t>
  </si>
  <si>
    <t>Assume no write outs or disposals</t>
  </si>
  <si>
    <t>Not a part of simplified lead in</t>
  </si>
  <si>
    <t>Simplified underground lead-in discount factors</t>
  </si>
  <si>
    <t>Leadin_discount</t>
  </si>
  <si>
    <t>Assume volumes stay constant</t>
  </si>
  <si>
    <t>Opex_eff</t>
  </si>
  <si>
    <t>Opex_CVE</t>
  </si>
  <si>
    <t>Manifold_uplift_ratio</t>
  </si>
  <si>
    <t>Unit costs are per junction box, costs are in £m</t>
  </si>
  <si>
    <t>Unit costs are per manhole, costs are in £m</t>
  </si>
  <si>
    <t>Million</t>
  </si>
  <si>
    <t>Thousand</t>
  </si>
  <si>
    <t>Attachment Volume</t>
  </si>
  <si>
    <t>Assume allocations are constant over the peiod</t>
  </si>
  <si>
    <t>Poles Volume at date</t>
  </si>
  <si>
    <t>Unit costs are per metre: volumes in kms, costs in £m</t>
  </si>
  <si>
    <t>Forecast Total Pole Volumes</t>
  </si>
  <si>
    <t>Forecasts of poles by type of pole</t>
  </si>
  <si>
    <t>Attachment Forecasts</t>
  </si>
  <si>
    <t>Forecast attachments through time</t>
  </si>
  <si>
    <t>Proposed control</t>
  </si>
  <si>
    <t>CPI +</t>
  </si>
  <si>
    <t>Poles forecast unit costs, charges and Xs</t>
  </si>
  <si>
    <t>Model Map</t>
  </si>
  <si>
    <t>Other non COW</t>
  </si>
  <si>
    <t>Asset life &gt;&gt;&gt;</t>
  </si>
  <si>
    <t>Relevant Asset Inflation</t>
  </si>
  <si>
    <t>Volume Forecasts from Parameters and Assumptions</t>
  </si>
  <si>
    <t>Outputs for Poles Cost Forecasting</t>
  </si>
  <si>
    <t>Growth Rate</t>
  </si>
  <si>
    <t>Base year (2019/20) cost data</t>
  </si>
  <si>
    <t>Unit Costs (per cable attachment) - Single</t>
  </si>
  <si>
    <t>Unit Costs (per cable attachment) - Multi</t>
  </si>
  <si>
    <t>Modelled charge (per cable attachment) - Single</t>
  </si>
  <si>
    <t>Modelled charge (per cable attachment) - Multi</t>
  </si>
  <si>
    <t>Modelled charge after discounts  (per cable attachment, nearest p)</t>
  </si>
  <si>
    <t>Growth rates</t>
  </si>
  <si>
    <t xml:space="preserve">Forecast mid year volumes for each PIA component </t>
  </si>
  <si>
    <t>Assume write outs = OCM depreciation</t>
  </si>
  <si>
    <t>Weighted  Growth rate</t>
  </si>
  <si>
    <t>Calculate Attributions in Each Year</t>
  </si>
  <si>
    <t>Unit Costs</t>
  </si>
  <si>
    <t>Inflation</t>
  </si>
  <si>
    <t>Revised Standard Cost</t>
  </si>
  <si>
    <t>Attributions</t>
  </si>
  <si>
    <t>5 year CAGR</t>
  </si>
  <si>
    <t>Indexation check</t>
  </si>
  <si>
    <t>Set Lead-in volume growth the same as single bore</t>
  </si>
  <si>
    <t>Poles unit cost</t>
  </si>
  <si>
    <t>Forecast poles service prices out to March 2021</t>
  </si>
  <si>
    <t>Index from 2020/21</t>
  </si>
  <si>
    <t>Assume flat : mix of assets</t>
  </si>
  <si>
    <t>Assume flat : mix of other assets</t>
  </si>
  <si>
    <t xml:space="preserve">Assume flat : mix of assets practically none of which are revalued. </t>
  </si>
  <si>
    <t>FAC number for duct</t>
  </si>
  <si>
    <t>Uplift to account for chamber products</t>
  </si>
  <si>
    <t>Proportion of attachments that are single</t>
  </si>
  <si>
    <t>Facility on pole for attachments (blended)</t>
  </si>
  <si>
    <r>
      <rPr>
        <sz val="11"/>
        <color theme="1"/>
        <rFont val="Calibri"/>
        <family val="2"/>
      </rPr>
      <t xml:space="preserve">£ </t>
    </r>
    <r>
      <rPr>
        <sz val="11"/>
        <color theme="1"/>
        <rFont val="Calibri"/>
        <family val="2"/>
        <scheme val="minor"/>
      </rPr>
      <t>per pole</t>
    </r>
  </si>
  <si>
    <t>Total attachment costs</t>
  </si>
  <si>
    <t>Forecast shares</t>
  </si>
  <si>
    <t>Assume shares remain constant</t>
  </si>
  <si>
    <t>Styles</t>
  </si>
  <si>
    <t>Input data</t>
  </si>
  <si>
    <t>Input data (e.g. RFS data, inflation, etc)</t>
  </si>
  <si>
    <t>Input assumption or parameter</t>
  </si>
  <si>
    <t>Input assumptions or parameters (e.g. for a scenario or control sheet)</t>
  </si>
  <si>
    <t>Feed internal</t>
  </si>
  <si>
    <t>Feed cell from within this workbook</t>
  </si>
  <si>
    <t>Feed external</t>
  </si>
  <si>
    <t>Feed cell from a different workbook</t>
  </si>
  <si>
    <t>Calculation</t>
  </si>
  <si>
    <t>Intermediate calculation (not final output)</t>
  </si>
  <si>
    <t>Model logic</t>
  </si>
  <si>
    <t>Cells required for model logic (e.g. year counters)</t>
  </si>
  <si>
    <t>Intentionally blank</t>
  </si>
  <si>
    <t>Cells left intentionally blank</t>
  </si>
  <si>
    <t>A key result from this part of the model (in particular one that will be used elsewhere in the model)</t>
  </si>
  <si>
    <t>Highlight</t>
  </si>
  <si>
    <t>A cell that is highlighted for uncertainty</t>
  </si>
  <si>
    <t>QA highlight</t>
  </si>
  <si>
    <t>A cell that is highlighted for quality assurance</t>
  </si>
  <si>
    <t>Check pass</t>
  </si>
  <si>
    <t>A side calculation intended solely to cross check a result (and which therefore should not be referenced anywhere else in the model)</t>
  </si>
  <si>
    <t>Check fail</t>
  </si>
  <si>
    <t>Note or source</t>
  </si>
  <si>
    <t>Text</t>
  </si>
  <si>
    <t>Note/source</t>
  </si>
  <si>
    <t>Named range</t>
  </si>
  <si>
    <t>Cells which are part of a named range</t>
  </si>
  <si>
    <t>Name</t>
  </si>
  <si>
    <t>named_range_1</t>
  </si>
  <si>
    <r>
      <t xml:space="preserve">An Excel Name applying to one or more adjacent cells (use </t>
    </r>
    <r>
      <rPr>
        <u/>
        <sz val="9"/>
        <rFont val="Arial"/>
        <family val="2"/>
      </rPr>
      <t>I</t>
    </r>
    <r>
      <rPr>
        <sz val="11"/>
        <color theme="1"/>
        <rFont val="Calibri"/>
        <family val="2"/>
        <scheme val="minor"/>
      </rPr>
      <t xml:space="preserve">nsert </t>
    </r>
    <r>
      <rPr>
        <u/>
        <sz val="9"/>
        <rFont val="Arial"/>
        <family val="2"/>
      </rPr>
      <t>N</t>
    </r>
    <r>
      <rPr>
        <sz val="11"/>
        <color theme="1"/>
        <rFont val="Calibri"/>
        <family val="2"/>
        <scheme val="minor"/>
      </rPr>
      <t xml:space="preserve">ame </t>
    </r>
    <r>
      <rPr>
        <u/>
        <sz val="9"/>
        <rFont val="Arial"/>
        <family val="2"/>
      </rPr>
      <t>C</t>
    </r>
    <r>
      <rPr>
        <sz val="11"/>
        <color theme="1"/>
        <rFont val="Calibri"/>
        <family val="2"/>
        <scheme val="minor"/>
      </rPr>
      <t>reate to actually create the Excel Names)</t>
    </r>
  </si>
  <si>
    <t>Un-format</t>
  </si>
  <si>
    <t>Going back to default Excel formatting</t>
  </si>
  <si>
    <t>H1</t>
  </si>
  <si>
    <t>Title</t>
  </si>
  <si>
    <t>Heading level 1</t>
  </si>
  <si>
    <t>H2</t>
  </si>
  <si>
    <t>Heading level 2</t>
  </si>
  <si>
    <t>H3</t>
  </si>
  <si>
    <t>Heading level 3</t>
  </si>
  <si>
    <t>H4</t>
  </si>
  <si>
    <t>Heading level 4</t>
  </si>
  <si>
    <t>2026/27</t>
  </si>
  <si>
    <t>2027/28</t>
  </si>
  <si>
    <t>2028/29</t>
  </si>
  <si>
    <t>2029/30</t>
  </si>
  <si>
    <t>2030/31</t>
  </si>
  <si>
    <t>asset_inflation</t>
  </si>
  <si>
    <t>opex_inflation</t>
  </si>
  <si>
    <t>Base year volumes</t>
  </si>
  <si>
    <t>Inflation Forecasts</t>
  </si>
  <si>
    <t>Duct and chambers service prices out to April 2025</t>
  </si>
  <si>
    <t>Poles network adjustment - Additions</t>
  </si>
  <si>
    <t>Attachment volumes for single &amp; multi attachments</t>
  </si>
  <si>
    <t>Estimate 2022/23 mid year</t>
  </si>
  <si>
    <t>FAC (incl. ROCE)</t>
  </si>
  <si>
    <t>Discount on single-end-user attachments</t>
  </si>
  <si>
    <t>Forecasts --&gt;</t>
  </si>
  <si>
    <t>Actuals --&gt;</t>
  </si>
  <si>
    <t>Duct and Chambers 2022/23 Base Year Cost Data</t>
  </si>
  <si>
    <t>As of:</t>
  </si>
  <si>
    <t>Forecast GRCs, NRCs and OCM dep</t>
  </si>
  <si>
    <t>Poles replacement capex</t>
  </si>
  <si>
    <t>Associated with the POLES COW</t>
  </si>
  <si>
    <t>Associated with Other COWs</t>
  </si>
  <si>
    <t>Forecast Poles Costs for main CoW</t>
  </si>
  <si>
    <t>Poles testing capex</t>
  </si>
  <si>
    <t>Published 01/04/2022</t>
  </si>
  <si>
    <t>Published 01/04/2023</t>
  </si>
  <si>
    <t>Published 01/04/2024</t>
  </si>
  <si>
    <t>Published 01/04/2025</t>
  </si>
  <si>
    <t>n/a</t>
  </si>
  <si>
    <t>Opening and closing balances</t>
  </si>
  <si>
    <t>Base Year adjustments</t>
  </si>
  <si>
    <t>Normalise Leavers cost</t>
  </si>
  <si>
    <t>Normalise Restructuring costs</t>
  </si>
  <si>
    <t>Base year cost data</t>
  </si>
  <si>
    <t>Mixed poles attachment coefficient</t>
  </si>
  <si>
    <t>Opex Volume Growth</t>
  </si>
  <si>
    <t>LDD capex forecasts</t>
  </si>
  <si>
    <t>Poles (total) capex forecasts</t>
  </si>
  <si>
    <t>PIA model outputs</t>
  </si>
  <si>
    <t>Facility on pole</t>
  </si>
  <si>
    <t>Manifold and cable up pole</t>
  </si>
  <si>
    <t>Breakdown of poles cost</t>
  </si>
  <si>
    <t>Published 01/04/2021</t>
  </si>
  <si>
    <t>Published 01/04/2020</t>
  </si>
  <si>
    <t>2021/22</t>
  </si>
  <si>
    <t>2020/21</t>
  </si>
  <si>
    <t>Asset lives</t>
  </si>
  <si>
    <t>Volumes for Simplified Underground Lead in service</t>
  </si>
  <si>
    <t>Service</t>
  </si>
  <si>
    <t>Volumes / lead in</t>
  </si>
  <si>
    <t>Joint Boxes</t>
  </si>
  <si>
    <t>Total duct capex forecasts</t>
  </si>
  <si>
    <t>Duct Opening NRC</t>
  </si>
  <si>
    <t>Other CCA adjustments</t>
  </si>
  <si>
    <t>Net asset registrations</t>
  </si>
  <si>
    <t>Assume grows on the basis of weighted growth rate</t>
  </si>
  <si>
    <t>Set lead-in to be same as Single Bore</t>
  </si>
  <si>
    <t>Note: this also includes annual capex from pole testing and network adjustments</t>
  </si>
  <si>
    <t>Forecast to be equivalent to replacement capex for poles</t>
  </si>
  <si>
    <t>PIA service charges</t>
  </si>
  <si>
    <t>Input volumes and scale to 2022/23 mid year volume</t>
  </si>
  <si>
    <t>Forecasts of LDD to 2030/31</t>
  </si>
  <si>
    <t>Duct and chambers assets</t>
  </si>
  <si>
    <t>years</t>
  </si>
  <si>
    <t>duct_asset_life</t>
  </si>
  <si>
    <t>Pole Assets</t>
  </si>
  <si>
    <t>pole_asset_life</t>
  </si>
  <si>
    <t>Poles Volume Forecasts</t>
  </si>
  <si>
    <t>Year Start</t>
  </si>
  <si>
    <t>Gross additions</t>
  </si>
  <si>
    <t>Retirements (poles replaced)</t>
  </si>
  <si>
    <t>Year end</t>
  </si>
  <si>
    <t>D&amp;C Volume Growth (Installed base)</t>
  </si>
  <si>
    <t>Capex</t>
  </si>
  <si>
    <t>Volume growth, cost and capex forecast assumptions</t>
  </si>
  <si>
    <t>metres</t>
  </si>
  <si>
    <t>exits</t>
  </si>
  <si>
    <t>Mutilpliers</t>
  </si>
  <si>
    <t>CVE for operating costs</t>
  </si>
  <si>
    <t xml:space="preserve">Efficiency for operating costs </t>
  </si>
  <si>
    <t>Discounts on simplified underground lead-in</t>
  </si>
  <si>
    <t xml:space="preserve">Relevant shares for duct and chambers products </t>
  </si>
  <si>
    <t>Attribution of Poles Costs</t>
  </si>
  <si>
    <t>Attachment costs</t>
  </si>
  <si>
    <t>Manifold costs</t>
  </si>
  <si>
    <t>Cables up poles costs</t>
  </si>
  <si>
    <t>Poles: Uplift ratio attachments</t>
  </si>
  <si>
    <t xml:space="preserve">Poles: Uplift ratio of manifolds </t>
  </si>
  <si>
    <t>PIA attachments added to pure poles average</t>
  </si>
  <si>
    <t>Inflation Assumptions</t>
  </si>
  <si>
    <t>PIA Asset Inflation  - measure</t>
  </si>
  <si>
    <t>RPI</t>
  </si>
  <si>
    <t>Fixed %</t>
  </si>
  <si>
    <t>PIA Asset Inflation value</t>
  </si>
  <si>
    <t>Opex Inflation - measure</t>
  </si>
  <si>
    <t>Opex Inflation value</t>
  </si>
  <si>
    <t>Inputs for PIA Charges Model</t>
  </si>
  <si>
    <t>Simplified lead-in</t>
  </si>
  <si>
    <t>Facility on pole for Multi-end-user attachment</t>
  </si>
  <si>
    <t>Facility on pole for Single-end-user attachment</t>
  </si>
  <si>
    <t>Pole top equipment</t>
  </si>
  <si>
    <t>Cable up a pole (per cable)</t>
  </si>
  <si>
    <t>Single Premise attachments</t>
  </si>
  <si>
    <t>Multi premise attachments</t>
  </si>
  <si>
    <t>Average number of cables up a pole</t>
  </si>
  <si>
    <t>Post 2018/19 assets</t>
  </si>
  <si>
    <t>GRC</t>
  </si>
  <si>
    <t>NRC</t>
  </si>
  <si>
    <t>Other post 97 Assets</t>
  </si>
  <si>
    <t>Pre 97 Access</t>
  </si>
  <si>
    <t>RAV- GRC</t>
  </si>
  <si>
    <t>RAV- NRC</t>
  </si>
  <si>
    <t>Pre 97 Other</t>
  </si>
  <si>
    <t>CCA - GRC</t>
  </si>
  <si>
    <t>CCA - NRC</t>
  </si>
  <si>
    <t xml:space="preserve">Duct and Chambers Attributions </t>
  </si>
  <si>
    <t>D&amp;C Shares</t>
  </si>
  <si>
    <t>Pole Inputs</t>
  </si>
  <si>
    <t>Installed base by type of pole</t>
  </si>
  <si>
    <t xml:space="preserve">Pole Utilisation Data </t>
  </si>
  <si>
    <t>All poles</t>
  </si>
  <si>
    <t>Ratio of manifolds to poles</t>
  </si>
  <si>
    <t>Base Year Pole Cost Data</t>
  </si>
  <si>
    <t>Other non-COW</t>
  </si>
  <si>
    <t>Unit Capital Cost of pole</t>
  </si>
  <si>
    <t>2022/23 Unit Costs</t>
  </si>
  <si>
    <t>September 2011</t>
  </si>
  <si>
    <t>Information</t>
  </si>
  <si>
    <t xml:space="preserve">Title </t>
  </si>
  <si>
    <t>Objective</t>
  </si>
  <si>
    <t>Confidentiality status</t>
  </si>
  <si>
    <t>Non-confidential</t>
  </si>
  <si>
    <t>Contents</t>
  </si>
  <si>
    <t>Sheet</t>
  </si>
  <si>
    <t>Description</t>
  </si>
  <si>
    <t>This contents sheet</t>
  </si>
  <si>
    <t>Actual model sheets</t>
  </si>
  <si>
    <t>Terms and conditions</t>
  </si>
  <si>
    <t>PIA Charges Model</t>
  </si>
  <si>
    <t>This model is the non-confidential version of Ofcom's PIA Charges Model. The PIA Charges Model forecasts costs for duct and poles to determine future cost-based charge controls</t>
  </si>
  <si>
    <t>Network Adjs</t>
  </si>
  <si>
    <t>D&amp;C Vols</t>
  </si>
  <si>
    <t>D&amp;C Cost Forecasts</t>
  </si>
  <si>
    <t>D&amp;C Forecast UCs, Charges &amp; Xs</t>
  </si>
  <si>
    <t>Poles main COW Forecasts</t>
  </si>
  <si>
    <t>Poles costs forecasts</t>
  </si>
  <si>
    <t>Poles Fcast UCs, Charges &amp; Xs</t>
  </si>
  <si>
    <t>Model outputs</t>
  </si>
  <si>
    <t>Ofcom style guide</t>
  </si>
  <si>
    <t>Ofcom assumptions and parameters, as well as randomised capex and volume information</t>
  </si>
  <si>
    <t>Estimated capex for network adjustments below the £4,750 financial limit, split by duct and pole</t>
  </si>
  <si>
    <t>Calculated duct volumes and cost attributions</t>
  </si>
  <si>
    <t>Forecast capital costs for duct's main Class of Work (LDD)</t>
  </si>
  <si>
    <t>Converts the calculated duct costs into unit costs and then applies fair shares to determine cost-based charges and required CPI-X charge controls</t>
  </si>
  <si>
    <t>Calculated pole volumes</t>
  </si>
  <si>
    <t>Forecast capital costs for poles Class of Work</t>
  </si>
  <si>
    <t>Estimates total duct and chamber cost forecasts (both capital and operating costs)</t>
  </si>
  <si>
    <t>Estimates total poles cost forecasts (both capital and operating costs)</t>
  </si>
  <si>
    <t>Converts the calculated poles costs into unit costs and then applies fair shares to determine cost-based charges and required CPI-X charge controls</t>
  </si>
  <si>
    <t>Consolidates key outputs such as cost-based charges and CPI-X controls</t>
  </si>
  <si>
    <r>
      <t xml:space="preserve">The terms and conditions on which OFCOM is making available this model are set out below.
The </t>
    </r>
    <r>
      <rPr>
        <sz val="11"/>
        <rFont val="Calibri"/>
        <family val="2"/>
      </rPr>
      <t>PIA Charges</t>
    </r>
    <r>
      <rPr>
        <sz val="11"/>
        <color theme="1"/>
        <rFont val="Calibri"/>
        <family val="2"/>
        <scheme val="minor"/>
      </rPr>
      <t xml:space="preserve"> Model ('the Model') has been developed to </t>
    </r>
    <r>
      <rPr>
        <sz val="11"/>
        <rFont val="Calibri"/>
        <family val="2"/>
        <scheme val="minor"/>
      </rPr>
      <t>determine cost-based charge controls for regulated duct and pole (PIA) services</t>
    </r>
    <r>
      <rPr>
        <sz val="11"/>
        <color theme="1"/>
        <rFont val="Calibri"/>
        <family val="2"/>
        <scheme val="minor"/>
      </rPr>
      <t xml:space="preserve">. The Model is provided as part of the explanation of OFCOM’s </t>
    </r>
    <r>
      <rPr>
        <sz val="11"/>
        <rFont val="Calibri"/>
        <family val="2"/>
        <scheme val="minor"/>
      </rPr>
      <t>proposals in its consultation "Promoting competition and investment in fibre networks: Telecoms Access Review 2026-31"</t>
    </r>
    <r>
      <rPr>
        <sz val="11"/>
        <color theme="1"/>
        <rFont val="Calibri"/>
        <family val="2"/>
        <scheme val="minor"/>
      </rPr>
      <t xml:space="preserve">, </t>
    </r>
    <r>
      <rPr>
        <sz val="11"/>
        <rFont val="Calibri"/>
        <family val="2"/>
        <scheme val="minor"/>
      </rPr>
      <t>dated 20th March 2025</t>
    </r>
    <r>
      <rPr>
        <sz val="11"/>
        <color theme="1"/>
        <rFont val="Calibri"/>
        <family val="2"/>
        <scheme val="minor"/>
      </rPr>
      <t>.
While you may freely use the Model for the purposes for which it is provided, as set out in any accompanying model documentation, OFCOM does not guarantee that the Model will function when used in any modified way.
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the Model, you agree to the above.</t>
    </r>
  </si>
  <si>
    <t>Randomised data</t>
  </si>
  <si>
    <t>Data which has been randomised by +/-20% for confidentiality reasons</t>
  </si>
  <si>
    <t>Input data that are either based on actuals, rounded actuals, or randomised by +/- 20% to produce non-confidential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</si>
</sst>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quot;£&quot;#,##0"/>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0_ ;[Red]\-#,##0\ "/>
    <numFmt numFmtId="167" formatCode="0.0"/>
    <numFmt numFmtId="168" formatCode="&quot;£&quot;#,##0.00"/>
    <numFmt numFmtId="169" formatCode="&quot;£&quot;#,##0"/>
    <numFmt numFmtId="170" formatCode="#,##0.00_);[Red]\-#,##0.00_);0.00_);@_)"/>
    <numFmt numFmtId="171" formatCode="_-* #,##0.000_-;\-* #,##0.000_-;_-* &quot;-&quot;??_-;_-@_-"/>
    <numFmt numFmtId="172" formatCode="&quot;£&quot;#,##0.0000"/>
    <numFmt numFmtId="173" formatCode="[$-F800]dddd\,\ mmmm\ dd\,\ yyyy"/>
    <numFmt numFmtId="174" formatCode="0.000%"/>
    <numFmt numFmtId="175" formatCode="&quot;£&quot;#,##0.000&quot;m&quot;"/>
    <numFmt numFmtId="176" formatCode="#,##0.0"/>
    <numFmt numFmtId="177" formatCode="&quot;£&quot;#,##0&quot;m&quot;;[Red]&quot;£&quot;#,##0&quot;m&quot;"/>
    <numFmt numFmtId="178" formatCode="[$£-809]#,##0.0"/>
    <numFmt numFmtId="179" formatCode="&quot;£&quot;#,##0&quot;m&quot;;[Red]\-&quot;£&quot;#,##0&quot;m&quot;;\ &quot;-&quot;"/>
    <numFmt numFmtId="180" formatCode="&quot;£&quot;#,##0.0&quot;m&quot;;[Red]\-&quot;£&quot;#,##0.0&quot;m&quot;;\ &quot;-&quot;"/>
    <numFmt numFmtId="181" formatCode="&quot;£&quot;#,##0.000&quot;m&quot;;[Red]\-&quot;£&quot;#,##0.000&quot;m&quot;;\ &quot;-&quot;"/>
    <numFmt numFmtId="182" formatCode="&quot;£&quot;#,##0.0000;\-&quot;£&quot;#,##0.0000"/>
    <numFmt numFmtId="183" formatCode="&quot;£&quot;#,##0.000&quot;m&quot;;\-&quot;£&quot;#,##0.000&quot;m&quot;;&quot;-&quot;"/>
    <numFmt numFmtId="184" formatCode="&quot;£&quot;#,##0.0;\-&quot;£&quot;#,##0.0"/>
    <numFmt numFmtId="185" formatCode="&quot;£&quot;#,##0.0&quot;m&quot;"/>
    <numFmt numFmtId="186" formatCode="&quot;£&quot;#,##0.0&quot;m&quot;;\-&quot;£&quot;#,##0.0&quot;m&quot;;&quot;-&quot;"/>
    <numFmt numFmtId="187" formatCode="#,##0_);[Red]\-#,##0_);0_);@_)"/>
    <numFmt numFmtId="188" formatCode="#,##0.00;[Red]\-#,##0.00;\-"/>
    <numFmt numFmtId="189" formatCode="#,##0;[Red]\-#,##0;\-"/>
    <numFmt numFmtId="190" formatCode="#,##0.0;[Red]\-#,##0.0;\-"/>
    <numFmt numFmtId="191" formatCode="&quot;Rnd&quot;* &quot;[&quot;General&quot;]&quot;;&quot;Rnd&quot;* &quot;[&quot;\-General&quot;]&quot;"/>
    <numFmt numFmtId="192" formatCode="&quot;£&quot;#,##0.000"/>
    <numFmt numFmtId="193" formatCode="&quot;£&quot;#,##0.00000000;\-&quot;£&quot;#,##0.00000000"/>
    <numFmt numFmtId="194" formatCode="&quot;£&quot;#,##0.0000000000"/>
    <numFmt numFmtId="195" formatCode="&quot;£&quot;#,##0.00000"/>
    <numFmt numFmtId="196" formatCode="&quot;£&quot;#,##0.00&quot;m&quot;"/>
    <numFmt numFmtId="197" formatCode="0.000"/>
    <numFmt numFmtId="198" formatCode="0.0000"/>
    <numFmt numFmtId="199" formatCode="&quot;to &quot;0.0000;&quot;to &quot;\-0.0000;&quot;to 0&quot;"/>
    <numFmt numFmtId="200" formatCode="#,##0;\-#,##0;\-"/>
    <numFmt numFmtId="201" formatCode="[&lt;0.0001]&quot;&lt;0.0001&quot;;0.0000"/>
    <numFmt numFmtId="202" formatCode="#,##0.0,,;\-#,##0.0,,;\-"/>
    <numFmt numFmtId="203" formatCode="#,##0,;\-#,##0,;\-"/>
    <numFmt numFmtId="204" formatCode="0.0%;\-0.0%;\-"/>
    <numFmt numFmtId="205" formatCode="#,##0.0,,;\-#,##0.0,,"/>
    <numFmt numFmtId="206" formatCode="#,##0,;\-#,##0,"/>
    <numFmt numFmtId="207" formatCode="0.0%;\-0.0%"/>
    <numFmt numFmtId="208" formatCode="#,##0.0_-;\(#,##0.0\);_-* &quot;-&quot;??_-"/>
    <numFmt numFmtId="209" formatCode="_-[$€-2]* #,##0.00_-;\-[$€-2]* #,##0.00_-;_-[$€-2]* &quot;-&quot;??_-"/>
    <numFmt numFmtId="210" formatCode="_ * #,##0.00_ ;_ * \-#,##0.00_ ;_ * &quot;-&quot;??_ ;_ @_ "/>
  </numFmts>
  <fonts count="125" x14ac:knownFonts="1">
    <font>
      <sz val="11"/>
      <color theme="1"/>
      <name val="Calibri"/>
      <family val="2"/>
      <scheme val="minor"/>
    </font>
    <font>
      <b/>
      <sz val="11"/>
      <color theme="1"/>
      <name val="Calibri"/>
      <family val="2"/>
      <scheme val="minor"/>
    </font>
    <font>
      <sz val="11"/>
      <color theme="1"/>
      <name val="Calibri"/>
      <family val="2"/>
      <scheme val="minor"/>
    </font>
    <font>
      <sz val="9"/>
      <name val="Arial"/>
      <family val="2"/>
    </font>
    <font>
      <b/>
      <sz val="18"/>
      <name val="Arial"/>
      <family val="2"/>
    </font>
    <font>
      <b/>
      <sz val="9"/>
      <name val="Arial"/>
      <family val="2"/>
    </font>
    <font>
      <b/>
      <sz val="14"/>
      <name val="Arial"/>
      <family val="2"/>
    </font>
    <font>
      <b/>
      <sz val="12"/>
      <name val="Arial"/>
      <family val="2"/>
    </font>
    <font>
      <b/>
      <sz val="11"/>
      <color theme="0"/>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i/>
      <sz val="11"/>
      <color rgb="FFFF0000"/>
      <name val="Calibri"/>
      <family val="2"/>
      <scheme val="minor"/>
    </font>
    <font>
      <i/>
      <sz val="9"/>
      <color indexed="16"/>
      <name val="Arial"/>
      <family val="2"/>
    </font>
    <font>
      <sz val="8"/>
      <color indexed="10"/>
      <name val="Arial"/>
      <family val="2"/>
    </font>
    <font>
      <i/>
      <sz val="9"/>
      <color rgb="FF969696"/>
      <name val="Arial"/>
      <family val="2"/>
    </font>
    <font>
      <b/>
      <sz val="12"/>
      <color theme="1"/>
      <name val="Calibri"/>
      <family val="2"/>
      <scheme val="minor"/>
    </font>
    <font>
      <u/>
      <sz val="9"/>
      <color theme="10"/>
      <name val="Arial"/>
      <family val="2"/>
    </font>
    <font>
      <sz val="9"/>
      <color theme="1"/>
      <name val="Calibri"/>
      <family val="2"/>
      <scheme val="minor"/>
    </font>
    <font>
      <b/>
      <sz val="9"/>
      <name val="Calibri"/>
      <family val="2"/>
      <scheme val="minor"/>
    </font>
    <font>
      <sz val="9"/>
      <name val="Calibri"/>
      <family val="2"/>
      <scheme val="minor"/>
    </font>
    <font>
      <b/>
      <sz val="14"/>
      <name val="Calibri"/>
      <family val="2"/>
      <scheme val="minor"/>
    </font>
    <font>
      <b/>
      <sz val="12"/>
      <name val="Calibri"/>
      <family val="2"/>
      <scheme val="minor"/>
    </font>
    <font>
      <sz val="10"/>
      <name val="Calibri"/>
      <family val="2"/>
      <scheme val="minor"/>
    </font>
    <font>
      <b/>
      <sz val="10"/>
      <name val="Calibri"/>
      <family val="2"/>
      <scheme val="minor"/>
    </font>
    <font>
      <sz val="10"/>
      <color theme="1"/>
      <name val="Calibri"/>
      <family val="2"/>
      <scheme val="minor"/>
    </font>
    <font>
      <sz val="9"/>
      <color rgb="FFFF0000"/>
      <name val="Calibri"/>
      <family val="2"/>
      <scheme val="minor"/>
    </font>
    <font>
      <i/>
      <sz val="9"/>
      <color rgb="FFFF0000"/>
      <name val="Calibri"/>
      <family val="2"/>
      <scheme val="minor"/>
    </font>
    <font>
      <sz val="10"/>
      <name val="Arial"/>
      <family val="2"/>
    </font>
    <font>
      <b/>
      <sz val="10"/>
      <color theme="0"/>
      <name val="Calibri"/>
      <family val="2"/>
      <scheme val="minor"/>
    </font>
    <font>
      <sz val="10"/>
      <color theme="0"/>
      <name val="Calibri"/>
      <family val="2"/>
      <scheme val="minor"/>
    </font>
    <font>
      <i/>
      <sz val="10"/>
      <color rgb="FFFF0000"/>
      <name val="Calibri"/>
      <family val="2"/>
      <scheme val="minor"/>
    </font>
    <font>
      <sz val="10"/>
      <color rgb="FFFF0000"/>
      <name val="Calibri"/>
      <family val="2"/>
      <scheme val="minor"/>
    </font>
    <font>
      <sz val="11"/>
      <color theme="1"/>
      <name val="Calibri"/>
      <family val="2"/>
    </font>
    <font>
      <sz val="14"/>
      <name val="Calibri"/>
      <family val="2"/>
      <scheme val="minor"/>
    </font>
    <font>
      <b/>
      <i/>
      <sz val="10"/>
      <color theme="1"/>
      <name val="Calibri"/>
      <family val="2"/>
      <scheme val="minor"/>
    </font>
    <font>
      <i/>
      <sz val="10"/>
      <color theme="1"/>
      <name val="Calibri"/>
      <family val="2"/>
      <scheme val="minor"/>
    </font>
    <font>
      <u/>
      <sz val="10"/>
      <color theme="10"/>
      <name val="Arial"/>
      <family val="2"/>
    </font>
    <font>
      <b/>
      <sz val="16"/>
      <color theme="1"/>
      <name val="Calibri"/>
      <family val="2"/>
      <scheme val="minor"/>
    </font>
    <font>
      <b/>
      <sz val="20"/>
      <color theme="1"/>
      <name val="Calibri"/>
      <family val="2"/>
      <scheme val="minor"/>
    </font>
    <font>
      <b/>
      <sz val="22"/>
      <name val="Arial"/>
      <family val="2"/>
    </font>
    <font>
      <b/>
      <sz val="10"/>
      <name val="Arial"/>
      <family val="2"/>
    </font>
    <font>
      <b/>
      <sz val="22"/>
      <color theme="3"/>
      <name val="Calibri"/>
      <family val="2"/>
      <scheme val="minor"/>
    </font>
    <font>
      <sz val="10"/>
      <color rgb="FF0000FF"/>
      <name val="Arial"/>
      <family val="2"/>
    </font>
    <font>
      <sz val="10"/>
      <color indexed="16"/>
      <name val="Arial"/>
      <family val="2"/>
    </font>
    <font>
      <sz val="11"/>
      <color rgb="FF0000FF"/>
      <name val="Calibri"/>
      <family val="2"/>
      <scheme val="minor"/>
    </font>
    <font>
      <b/>
      <sz val="10"/>
      <color theme="0"/>
      <name val="Arial"/>
      <family val="2"/>
    </font>
    <font>
      <b/>
      <sz val="16"/>
      <name val="Calibri"/>
      <family val="2"/>
      <scheme val="minor"/>
    </font>
    <font>
      <b/>
      <sz val="11"/>
      <name val="Calibri"/>
      <family val="2"/>
      <scheme val="minor"/>
    </font>
    <font>
      <sz val="16"/>
      <color theme="1"/>
      <name val="Calibri"/>
      <family val="2"/>
      <scheme val="minor"/>
    </font>
    <font>
      <sz val="10"/>
      <name val="Arial"/>
      <family val="2"/>
    </font>
    <font>
      <sz val="8"/>
      <name val="Calibri"/>
      <family val="2"/>
      <scheme val="minor"/>
    </font>
    <font>
      <b/>
      <i/>
      <sz val="12"/>
      <color theme="1"/>
      <name val="Calibri"/>
      <family val="2"/>
      <scheme val="minor"/>
    </font>
    <font>
      <b/>
      <i/>
      <sz val="14"/>
      <color theme="1"/>
      <name val="Calibri"/>
      <family val="2"/>
      <scheme val="minor"/>
    </font>
    <font>
      <b/>
      <i/>
      <sz val="9"/>
      <color theme="1"/>
      <name val="Calibri"/>
      <family val="2"/>
      <scheme val="minor"/>
    </font>
    <font>
      <sz val="8"/>
      <color theme="1"/>
      <name val="Calibri"/>
      <family val="2"/>
      <scheme val="minor"/>
    </font>
    <font>
      <sz val="11"/>
      <name val="Calibri"/>
      <family val="2"/>
      <scheme val="minor"/>
    </font>
    <font>
      <sz val="24"/>
      <color rgb="FFCC0044"/>
      <name val="Calibri Light"/>
      <family val="2"/>
      <scheme val="major"/>
    </font>
    <font>
      <sz val="10"/>
      <color indexed="10"/>
      <name val="Calibri"/>
      <family val="2"/>
      <scheme val="minor"/>
    </font>
    <font>
      <b/>
      <sz val="14"/>
      <color rgb="FF404040"/>
      <name val="Calibri Light"/>
      <family val="2"/>
      <scheme val="major"/>
    </font>
    <font>
      <sz val="11"/>
      <color rgb="FF000000"/>
      <name val="Calibri"/>
      <family val="2"/>
      <scheme val="minor"/>
    </font>
    <font>
      <sz val="11"/>
      <color theme="0" tint="-0.14996795556505021"/>
      <name val="Calibri"/>
      <family val="2"/>
      <scheme val="minor"/>
    </font>
    <font>
      <sz val="11"/>
      <color rgb="FF969696"/>
      <name val="Calibri"/>
      <family val="2"/>
      <scheme val="minor"/>
    </font>
    <font>
      <b/>
      <sz val="11"/>
      <color rgb="FFFFFFFF"/>
      <name val="Calibri"/>
      <family val="2"/>
      <scheme val="minor"/>
    </font>
    <font>
      <i/>
      <sz val="11"/>
      <color rgb="FFC00000"/>
      <name val="Calibri"/>
      <family val="2"/>
      <scheme val="minor"/>
    </font>
    <font>
      <u/>
      <sz val="9"/>
      <name val="Arial"/>
      <family val="2"/>
    </font>
    <font>
      <b/>
      <sz val="16"/>
      <color rgb="FFCC0044"/>
      <name val="Calibri Light"/>
      <family val="2"/>
      <scheme val="major"/>
    </font>
    <font>
      <b/>
      <sz val="11"/>
      <color rgb="FF642566"/>
      <name val="Calibri Light"/>
      <family val="2"/>
      <scheme val="major"/>
    </font>
    <font>
      <sz val="9"/>
      <name val="Verdana"/>
      <family val="2"/>
    </font>
    <font>
      <sz val="11"/>
      <name val="Calibri"/>
      <family val="2"/>
    </font>
    <font>
      <sz val="11"/>
      <color indexed="8"/>
      <name val="Calibri"/>
      <family val="2"/>
    </font>
    <font>
      <b/>
      <sz val="10"/>
      <color indexed="18"/>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i/>
      <sz val="12"/>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u/>
      <sz val="11"/>
      <color theme="10"/>
      <name val="Calibri"/>
      <family val="2"/>
    </font>
    <font>
      <sz val="12"/>
      <color theme="1"/>
      <name val="Arial"/>
      <family val="2"/>
    </font>
  </fonts>
  <fills count="66">
    <fill>
      <patternFill patternType="none"/>
    </fill>
    <fill>
      <patternFill patternType="gray125"/>
    </fill>
    <fill>
      <patternFill patternType="solid">
        <fgColor rgb="FFFFFF00"/>
        <bgColor indexed="64"/>
      </patternFill>
    </fill>
    <fill>
      <patternFill patternType="solid">
        <fgColor rgb="FFE8D9E8"/>
        <bgColor indexed="64"/>
      </patternFill>
    </fill>
    <fill>
      <gradientFill degree="45">
        <stop position="0">
          <color rgb="FFF7941D"/>
        </stop>
        <stop position="0.5">
          <color rgb="FFFFF200"/>
        </stop>
        <stop position="1">
          <color rgb="FFF7941D"/>
        </stop>
      </gradientFill>
    </fill>
    <fill>
      <patternFill patternType="solid">
        <fgColor theme="0" tint="-0.14999847407452621"/>
        <bgColor indexed="64"/>
      </patternFill>
    </fill>
    <fill>
      <patternFill patternType="solid">
        <fgColor theme="0"/>
        <bgColor indexed="64"/>
      </patternFill>
    </fill>
    <fill>
      <patternFill patternType="solid">
        <fgColor indexed="13"/>
        <bgColor indexed="64"/>
      </patternFill>
    </fill>
    <fill>
      <patternFill patternType="solid">
        <fgColor theme="1"/>
        <bgColor indexed="64"/>
      </patternFill>
    </fill>
    <fill>
      <patternFill patternType="solid">
        <fgColor rgb="FF00B0F0"/>
        <bgColor indexed="64"/>
      </patternFill>
    </fill>
    <fill>
      <patternFill patternType="solid">
        <fgColor rgb="FFE7EEF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26"/>
      </patternFill>
    </fill>
    <fill>
      <patternFill patternType="solid">
        <fgColor theme="0" tint="-0.14999847407452621"/>
        <bgColor indexed="26"/>
      </patternFill>
    </fill>
    <fill>
      <patternFill patternType="solid">
        <fgColor rgb="FFFF0000"/>
        <bgColor indexed="64"/>
      </patternFill>
    </fill>
    <fill>
      <patternFill patternType="solid">
        <fgColor rgb="FFFFC000"/>
        <bgColor indexed="64"/>
      </patternFill>
    </fill>
    <fill>
      <patternFill patternType="solid">
        <fgColor rgb="FFFFF296"/>
        <bgColor indexed="64"/>
      </patternFill>
    </fill>
    <fill>
      <patternFill patternType="solid">
        <fgColor rgb="FFDAEEF3"/>
        <bgColor indexed="64"/>
      </patternFill>
    </fill>
    <fill>
      <patternFill patternType="solid">
        <fgColor rgb="FFEAC8EA"/>
        <bgColor indexed="64"/>
      </patternFill>
    </fill>
    <fill>
      <patternFill patternType="solid">
        <fgColor rgb="FF00FFFF"/>
        <bgColor indexed="64"/>
      </patternFill>
    </fill>
    <fill>
      <patternFill patternType="solid">
        <fgColor rgb="FFA5A5A5"/>
        <bgColor indexed="64"/>
      </patternFill>
    </fill>
    <fill>
      <patternFill patternType="solid">
        <fgColor indexed="1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style="thin">
        <color theme="1"/>
      </left>
      <right style="thin">
        <color theme="1"/>
      </right>
      <top style="thin">
        <color theme="1"/>
      </top>
      <bottom style="thin">
        <color theme="1"/>
      </bottom>
      <diagonal/>
    </border>
    <border>
      <left/>
      <right/>
      <top/>
      <bottom style="thick">
        <color theme="4"/>
      </bottom>
      <diagonal/>
    </border>
    <border>
      <left style="thin">
        <color rgb="FF0033CC"/>
      </left>
      <right style="thin">
        <color rgb="FF0033CC"/>
      </right>
      <top style="thin">
        <color rgb="FF0033CC"/>
      </top>
      <bottom style="thin">
        <color rgb="FF0033CC"/>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rgb="FFC90044"/>
      </left>
      <right style="thin">
        <color rgb="FFC90044"/>
      </right>
      <top style="thin">
        <color rgb="FFC90044"/>
      </top>
      <bottom style="thin">
        <color rgb="FFC90044"/>
      </bottom>
      <diagonal/>
    </border>
    <border>
      <left style="hair">
        <color indexed="59"/>
      </left>
      <right style="hair">
        <color indexed="59"/>
      </right>
      <top style="hair">
        <color indexed="59"/>
      </top>
      <bottom style="hair">
        <color indexed="59"/>
      </bottom>
      <diagonal/>
    </border>
    <border>
      <left style="hair">
        <color rgb="FF660066"/>
      </left>
      <right style="hair">
        <color rgb="FF660066"/>
      </right>
      <top style="hair">
        <color rgb="FF660066"/>
      </top>
      <bottom style="hair">
        <color rgb="FF660066"/>
      </bottom>
      <diagonal/>
    </border>
    <border>
      <left style="hair">
        <color rgb="FF66CCFF"/>
      </left>
      <right style="hair">
        <color rgb="FF66CCFF"/>
      </right>
      <top style="hair">
        <color rgb="FF66CCFF"/>
      </top>
      <bottom style="hair">
        <color rgb="FF66CCFF"/>
      </bottom>
      <diagonal/>
    </border>
    <border>
      <left style="thin">
        <color rgb="FF66CCFF"/>
      </left>
      <right style="thin">
        <color rgb="FF66CCFF"/>
      </right>
      <top style="thin">
        <color rgb="FF66CCFF"/>
      </top>
      <bottom style="thin">
        <color rgb="FF66CCFF"/>
      </bottom>
      <diagonal/>
    </border>
    <border>
      <left style="hair">
        <color rgb="FFFFC000"/>
      </left>
      <right style="hair">
        <color rgb="FFFFC000"/>
      </right>
      <top style="hair">
        <color rgb="FFFFC000"/>
      </top>
      <bottom style="hair">
        <color rgb="FFFFC000"/>
      </bottom>
      <diagonal/>
    </border>
    <border>
      <left style="thin">
        <color rgb="FFFFC000"/>
      </left>
      <right style="thin">
        <color rgb="FFFFC000"/>
      </right>
      <top style="thin">
        <color rgb="FFFFC000"/>
      </top>
      <bottom style="thin">
        <color rgb="FFFFC000"/>
      </bottom>
      <diagonal/>
    </border>
    <border>
      <left style="hair">
        <color rgb="FF00EA00"/>
      </left>
      <right style="hair">
        <color rgb="FF00EA00"/>
      </right>
      <top style="hair">
        <color rgb="FF00EA00"/>
      </top>
      <bottom style="hair">
        <color rgb="FF00EA00"/>
      </bottom>
      <diagonal/>
    </border>
    <border>
      <left style="thin">
        <color rgb="FF00EA00"/>
      </left>
      <right style="thin">
        <color rgb="FF00EA00"/>
      </right>
      <top style="thin">
        <color rgb="FF00EA00"/>
      </top>
      <bottom style="thin">
        <color rgb="FF00EA00"/>
      </bottom>
      <diagonal/>
    </border>
    <border>
      <left style="thin">
        <color theme="1"/>
      </left>
      <right/>
      <top style="thin">
        <color theme="1"/>
      </top>
      <bottom style="thin">
        <color theme="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style="hair">
        <color rgb="FFC00000"/>
      </bottom>
      <diagonal/>
    </border>
    <border>
      <left/>
      <right style="thin">
        <color indexed="64"/>
      </right>
      <top/>
      <bottom/>
      <diagonal/>
    </border>
    <border>
      <left/>
      <right style="thin">
        <color indexed="64"/>
      </right>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s>
  <cellStyleXfs count="735">
    <xf numFmtId="0" fontId="0" fillId="0" borderId="0"/>
    <xf numFmtId="43" fontId="2" fillId="0" borderId="0" applyFont="0" applyFill="0" applyBorder="0" applyAlignment="0" applyProtection="0"/>
    <xf numFmtId="0" fontId="3" fillId="0" borderId="0" applyProtection="0">
      <alignment vertical="center"/>
    </xf>
    <xf numFmtId="9" fontId="2" fillId="0" borderId="0" applyFont="0" applyFill="0" applyBorder="0" applyAlignment="0" applyProtection="0"/>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horizontal="left" vertical="center"/>
    </xf>
    <xf numFmtId="0" fontId="3" fillId="3" borderId="0" applyNumberFormat="0" applyFont="0" applyBorder="0" applyAlignment="0" applyProtection="0">
      <alignment vertical="center"/>
    </xf>
    <xf numFmtId="0" fontId="3" fillId="0" borderId="0">
      <alignment vertical="center"/>
    </xf>
    <xf numFmtId="0" fontId="3" fillId="0" borderId="6" applyNumberFormat="0" applyAlignment="0">
      <alignment vertical="center"/>
      <protection locked="0"/>
    </xf>
    <xf numFmtId="0" fontId="13" fillId="0" borderId="0" applyNumberFormat="0" applyAlignment="0">
      <alignment vertical="center"/>
    </xf>
    <xf numFmtId="0" fontId="14" fillId="0" borderId="0" applyNumberFormat="0" applyFill="0" applyProtection="0">
      <alignment horizontal="left" vertical="center"/>
    </xf>
    <xf numFmtId="0" fontId="3" fillId="4" borderId="7" applyNumberFormat="0" applyFont="0" applyAlignment="0" applyProtection="0">
      <alignment vertical="center"/>
    </xf>
    <xf numFmtId="0" fontId="14" fillId="0" borderId="0" applyNumberFormat="0" applyFill="0" applyBorder="0" applyAlignment="0" applyProtection="0">
      <alignment vertical="top"/>
    </xf>
    <xf numFmtId="9" fontId="3" fillId="0" borderId="0" applyFont="0" applyFill="0" applyBorder="0" applyAlignment="0" applyProtection="0"/>
    <xf numFmtId="170" fontId="15" fillId="0" borderId="0" applyNumberFormat="0" applyAlignment="0">
      <alignment vertical="center"/>
    </xf>
    <xf numFmtId="43" fontId="2" fillId="0" borderId="0" applyFont="0" applyFill="0" applyBorder="0" applyAlignment="0" applyProtection="0"/>
    <xf numFmtId="0" fontId="3" fillId="7" borderId="0" applyNumberFormat="0" applyFont="0" applyBorder="0" applyAlignment="0" applyProtection="0">
      <alignment vertical="center"/>
    </xf>
    <xf numFmtId="0" fontId="17" fillId="0" borderId="0" applyNumberFormat="0" applyFill="0" applyBorder="0" applyAlignment="0" applyProtection="0">
      <alignment vertical="center"/>
    </xf>
    <xf numFmtId="0" fontId="28" fillId="0" borderId="0"/>
    <xf numFmtId="9" fontId="28" fillId="0" borderId="0" applyFont="0" applyFill="0" applyBorder="0" applyAlignment="0" applyProtection="0"/>
    <xf numFmtId="0" fontId="2" fillId="0" borderId="0"/>
    <xf numFmtId="43" fontId="28" fillId="0" borderId="0" applyFont="0" applyFill="0" applyBorder="0" applyAlignment="0" applyProtection="0"/>
    <xf numFmtId="9" fontId="28" fillId="0" borderId="0" applyFont="0" applyFill="0" applyBorder="0" applyAlignment="0" applyProtection="0"/>
    <xf numFmtId="178" fontId="3" fillId="0" borderId="0">
      <alignment vertical="center"/>
    </xf>
    <xf numFmtId="178" fontId="14" fillId="0" borderId="0" applyNumberFormat="0" applyFill="0" applyBorder="0" applyAlignment="0" applyProtection="0">
      <alignment vertical="top"/>
    </xf>
    <xf numFmtId="178" fontId="17" fillId="0" borderId="0" applyNumberFormat="0" applyFill="0" applyBorder="0" applyAlignment="0" applyProtection="0">
      <alignment vertical="center"/>
    </xf>
    <xf numFmtId="178" fontId="2" fillId="0" borderId="0"/>
    <xf numFmtId="178" fontId="2" fillId="0" borderId="0"/>
    <xf numFmtId="178" fontId="2" fillId="0" borderId="0"/>
    <xf numFmtId="178" fontId="2" fillId="0" borderId="0"/>
    <xf numFmtId="0" fontId="37" fillId="0" borderId="0" applyNumberFormat="0" applyFill="0" applyBorder="0" applyAlignment="0" applyProtection="0"/>
    <xf numFmtId="0" fontId="28" fillId="0" borderId="0">
      <alignment vertical="center"/>
    </xf>
    <xf numFmtId="0" fontId="42" fillId="0" borderId="13" applyNumberFormat="0" applyFill="0" applyAlignment="0" applyProtection="0"/>
    <xf numFmtId="187" fontId="43" fillId="10" borderId="14">
      <alignment vertical="center"/>
    </xf>
    <xf numFmtId="187" fontId="43" fillId="3" borderId="15">
      <alignment vertical="center"/>
    </xf>
    <xf numFmtId="188" fontId="28" fillId="3" borderId="15" applyProtection="0">
      <alignment vertical="center"/>
    </xf>
    <xf numFmtId="188" fontId="28" fillId="11" borderId="16">
      <alignment vertical="center"/>
    </xf>
    <xf numFmtId="188" fontId="28" fillId="12" borderId="16">
      <alignment vertical="center"/>
    </xf>
    <xf numFmtId="189" fontId="44" fillId="0" borderId="17" applyAlignment="0" applyProtection="0">
      <alignment vertical="center"/>
      <protection locked="0"/>
    </xf>
    <xf numFmtId="188" fontId="28" fillId="0" borderId="18">
      <alignment vertical="center"/>
    </xf>
    <xf numFmtId="188" fontId="28" fillId="0" borderId="6">
      <alignment vertical="center"/>
    </xf>
    <xf numFmtId="188" fontId="28" fillId="0" borderId="19" applyProtection="0">
      <alignment vertical="center"/>
    </xf>
    <xf numFmtId="188" fontId="41" fillId="0" borderId="20" applyProtection="0">
      <alignment vertical="center"/>
      <protection locked="0"/>
    </xf>
    <xf numFmtId="188" fontId="28" fillId="0" borderId="21" applyProtection="0">
      <alignment vertical="center"/>
    </xf>
    <xf numFmtId="188" fontId="41" fillId="0" borderId="22">
      <alignment vertical="center"/>
    </xf>
    <xf numFmtId="190" fontId="28" fillId="13" borderId="12">
      <alignment vertical="center"/>
    </xf>
    <xf numFmtId="188" fontId="28" fillId="0" borderId="23" applyProtection="0">
      <alignment vertical="center"/>
      <protection locked="0"/>
    </xf>
    <xf numFmtId="188" fontId="41" fillId="0" borderId="24" applyProtection="0">
      <alignment vertical="center"/>
      <protection locked="0"/>
    </xf>
    <xf numFmtId="191" fontId="45" fillId="4" borderId="7"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50" fillId="0" borderId="0"/>
    <xf numFmtId="0" fontId="56" fillId="0" borderId="0">
      <alignment vertical="center"/>
    </xf>
    <xf numFmtId="0" fontId="57" fillId="0" borderId="0" applyNumberFormat="0" applyFill="0" applyBorder="0" applyAlignment="0" applyProtection="0">
      <alignment vertical="center"/>
    </xf>
    <xf numFmtId="0" fontId="58" fillId="0" borderId="0" applyNumberFormat="0" applyAlignment="0" applyProtection="0">
      <alignment vertical="center"/>
    </xf>
    <xf numFmtId="0" fontId="59" fillId="0" borderId="0" applyNumberFormat="0" applyFill="0" applyBorder="0" applyAlignment="0" applyProtection="0">
      <alignment horizontal="left" vertical="center"/>
    </xf>
    <xf numFmtId="0" fontId="60" fillId="17" borderId="0" applyNumberFormat="0" applyAlignment="0" applyProtection="0">
      <alignment vertical="center"/>
    </xf>
    <xf numFmtId="0" fontId="45" fillId="17" borderId="0" applyNumberFormat="0" applyAlignment="0" applyProtection="0">
      <alignment vertical="center"/>
      <protection locked="0"/>
    </xf>
    <xf numFmtId="0" fontId="60" fillId="18" borderId="0" applyNumberFormat="0" applyAlignment="0" applyProtection="0">
      <alignment vertical="center"/>
    </xf>
    <xf numFmtId="0" fontId="45" fillId="18" borderId="0" applyNumberFormat="0" applyAlignment="0" applyProtection="0">
      <alignment vertical="center"/>
    </xf>
    <xf numFmtId="0" fontId="45" fillId="4" borderId="7" applyNumberFormat="0" applyAlignment="0" applyProtection="0">
      <alignment vertical="center"/>
    </xf>
    <xf numFmtId="191" fontId="45" fillId="4" borderId="7" applyAlignment="0" applyProtection="0">
      <alignment vertical="center"/>
    </xf>
    <xf numFmtId="0" fontId="61" fillId="0" borderId="0" applyNumberFormat="0" applyAlignment="0" applyProtection="0">
      <alignment vertical="center"/>
    </xf>
    <xf numFmtId="0" fontId="3" fillId="5" borderId="0" applyNumberFormat="0" applyFont="0" applyBorder="0" applyAlignment="0" applyProtection="0">
      <alignment vertical="center"/>
    </xf>
    <xf numFmtId="0" fontId="60" fillId="19" borderId="0" applyNumberFormat="0" applyAlignment="0" applyProtection="0">
      <alignment vertical="center"/>
    </xf>
    <xf numFmtId="0" fontId="3" fillId="20" borderId="0" applyNumberFormat="0" applyFont="0" applyBorder="0" applyAlignment="0" applyProtection="0">
      <alignment vertical="center"/>
    </xf>
    <xf numFmtId="0" fontId="62" fillId="0" borderId="0" applyNumberFormat="0" applyAlignment="0" applyProtection="0">
      <alignment vertical="center"/>
    </xf>
    <xf numFmtId="0" fontId="56" fillId="0" borderId="0" applyProtection="0">
      <alignment vertical="center"/>
    </xf>
    <xf numFmtId="0" fontId="63" fillId="15" borderId="0" applyNumberFormat="0" applyAlignment="0" applyProtection="0">
      <alignment vertical="center"/>
    </xf>
    <xf numFmtId="0" fontId="56" fillId="0" borderId="27" applyNumberFormat="0" applyAlignment="0" applyProtection="0">
      <alignment vertical="center"/>
      <protection locked="0"/>
    </xf>
    <xf numFmtId="0" fontId="64" fillId="0" borderId="0"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6" fillId="0" borderId="0">
      <alignment vertical="center"/>
    </xf>
    <xf numFmtId="0" fontId="5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9" fillId="0" borderId="0" applyNumberFormat="0" applyFill="0" applyBorder="0" applyAlignment="0" applyProtection="0">
      <alignment horizontal="left" vertical="center"/>
    </xf>
    <xf numFmtId="0" fontId="67" fillId="0" borderId="0" applyNumberForma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71" fillId="0" borderId="32" applyNumberFormat="0" applyFill="0" applyProtection="0">
      <alignment horizontal="center"/>
    </xf>
    <xf numFmtId="167" fontId="28" fillId="0" borderId="0" applyFont="0" applyFill="0" applyBorder="0" applyProtection="0">
      <alignment horizontal="right"/>
    </xf>
    <xf numFmtId="167" fontId="28" fillId="0" borderId="0" applyFont="0" applyFill="0" applyBorder="0" applyProtection="0">
      <alignment horizontal="right"/>
    </xf>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197" fontId="28" fillId="0" borderId="0" applyFont="0" applyFill="0" applyBorder="0" applyProtection="0">
      <alignment horizontal="right"/>
    </xf>
    <xf numFmtId="197" fontId="28" fillId="0" borderId="0" applyFont="0" applyFill="0" applyBorder="0" applyProtection="0">
      <alignment horizontal="right"/>
    </xf>
    <xf numFmtId="0" fontId="70"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27"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198" fontId="28" fillId="0" borderId="0" applyFont="0" applyFill="0" applyBorder="0" applyProtection="0">
      <alignment horizontal="right"/>
    </xf>
    <xf numFmtId="198" fontId="28" fillId="0" borderId="0" applyFont="0" applyFill="0" applyBorder="0" applyProtection="0">
      <alignment horizontal="right"/>
    </xf>
    <xf numFmtId="0" fontId="88" fillId="34"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35" borderId="0" applyNumberFormat="0" applyBorder="0" applyAlignment="0" applyProtection="0"/>
    <xf numFmtId="0" fontId="88" fillId="37" borderId="0" applyNumberFormat="0" applyBorder="0" applyAlignment="0" applyProtection="0"/>
    <xf numFmtId="0" fontId="88" fillId="42" borderId="0" applyNumberFormat="0" applyBorder="0" applyAlignment="0" applyProtection="0"/>
    <xf numFmtId="0" fontId="89" fillId="25" borderId="0" applyNumberFormat="0" applyBorder="0" applyAlignment="0" applyProtection="0"/>
    <xf numFmtId="208" fontId="28" fillId="0" borderId="0" applyBorder="0"/>
    <xf numFmtId="0" fontId="90" fillId="43" borderId="33" applyNumberFormat="0" applyAlignment="0" applyProtection="0"/>
    <xf numFmtId="0" fontId="91" fillId="44" borderId="34" applyNumberFormat="0" applyAlignment="0" applyProtection="0"/>
    <xf numFmtId="198" fontId="3" fillId="0" borderId="0" applyFont="0" applyFill="0" applyBorder="0" applyProtection="0">
      <alignment horizontal="right"/>
    </xf>
    <xf numFmtId="199" fontId="3" fillId="0" borderId="0" applyFont="0" applyFill="0" applyBorder="0" applyProtection="0">
      <alignment horizontal="left"/>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04" fillId="0" borderId="31" applyNumberFormat="0" applyBorder="0" applyAlignment="0" applyProtection="0">
      <alignment horizontal="right" vertical="center"/>
    </xf>
    <xf numFmtId="209" fontId="28" fillId="0" borderId="0" applyFont="0" applyFill="0" applyBorder="0" applyAlignment="0" applyProtection="0"/>
    <xf numFmtId="0" fontId="92" fillId="0" borderId="0" applyNumberFormat="0" applyFill="0" applyBorder="0" applyAlignment="0" applyProtection="0"/>
    <xf numFmtId="0" fontId="105" fillId="0" borderId="0">
      <alignment horizontal="right"/>
      <protection locked="0"/>
    </xf>
    <xf numFmtId="0" fontId="72" fillId="0" borderId="0">
      <alignment horizontal="left"/>
    </xf>
    <xf numFmtId="0" fontId="73" fillId="0" borderId="0">
      <alignment horizontal="left"/>
    </xf>
    <xf numFmtId="0" fontId="28" fillId="0" borderId="0" applyFont="0" applyFill="0" applyBorder="0" applyProtection="0">
      <alignment horizontal="right"/>
    </xf>
    <xf numFmtId="0" fontId="28" fillId="0" borderId="0" applyFont="0" applyFill="0" applyBorder="0" applyProtection="0">
      <alignment horizontal="right"/>
    </xf>
    <xf numFmtId="0" fontId="93" fillId="26" borderId="0" applyNumberFormat="0" applyBorder="0" applyAlignment="0" applyProtection="0"/>
    <xf numFmtId="38" fontId="87" fillId="45" borderId="0" applyNumberFormat="0" applyBorder="0" applyAlignment="0" applyProtection="0"/>
    <xf numFmtId="0" fontId="74" fillId="46" borderId="35" applyProtection="0">
      <alignment horizontal="right"/>
    </xf>
    <xf numFmtId="0" fontId="75" fillId="46" borderId="0" applyProtection="0">
      <alignment horizontal="left"/>
    </xf>
    <xf numFmtId="0" fontId="94" fillId="0" borderId="36" applyNumberFormat="0" applyFill="0" applyAlignment="0" applyProtection="0"/>
    <xf numFmtId="0" fontId="106" fillId="0" borderId="0">
      <alignment vertical="top" wrapText="1"/>
    </xf>
    <xf numFmtId="0" fontId="106" fillId="0" borderId="0">
      <alignment vertical="top" wrapText="1"/>
    </xf>
    <xf numFmtId="0" fontId="106" fillId="0" borderId="0">
      <alignment vertical="top" wrapText="1"/>
    </xf>
    <xf numFmtId="0" fontId="106" fillId="0" borderId="0">
      <alignment vertical="top" wrapText="1"/>
    </xf>
    <xf numFmtId="0" fontId="95" fillId="0" borderId="37" applyNumberFormat="0" applyFill="0" applyAlignment="0" applyProtection="0"/>
    <xf numFmtId="200" fontId="7" fillId="0" borderId="0" applyNumberFormat="0" applyFill="0" applyAlignment="0" applyProtection="0"/>
    <xf numFmtId="0" fontId="96" fillId="0" borderId="38" applyNumberFormat="0" applyFill="0" applyAlignment="0" applyProtection="0"/>
    <xf numFmtId="200" fontId="107" fillId="0" borderId="0" applyNumberFormat="0" applyFill="0" applyAlignment="0" applyProtection="0"/>
    <xf numFmtId="0" fontId="96" fillId="0" borderId="0" applyNumberFormat="0" applyFill="0" applyBorder="0" applyAlignment="0" applyProtection="0"/>
    <xf numFmtId="200" fontId="41" fillId="0" borderId="0" applyNumberFormat="0" applyFill="0" applyAlignment="0" applyProtection="0"/>
    <xf numFmtId="200" fontId="76" fillId="0" borderId="0" applyNumberFormat="0" applyFill="0" applyAlignment="0" applyProtection="0"/>
    <xf numFmtId="200" fontId="77" fillId="0" borderId="0" applyNumberFormat="0" applyFill="0" applyAlignment="0" applyProtection="0"/>
    <xf numFmtId="200" fontId="77" fillId="0" borderId="0" applyNumberFormat="0" applyFont="0" applyFill="0" applyBorder="0" applyAlignment="0" applyProtection="0"/>
    <xf numFmtId="200" fontId="77" fillId="0" borderId="0" applyNumberFormat="0" applyFont="0" applyFill="0" applyBorder="0" applyAlignment="0" applyProtection="0"/>
    <xf numFmtId="0" fontId="123"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78" fillId="0" borderId="0" applyFill="0" applyBorder="0" applyProtection="0">
      <alignment horizontal="left"/>
    </xf>
    <xf numFmtId="10" fontId="87" fillId="47" borderId="2" applyNumberFormat="0" applyBorder="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74" fillId="0" borderId="39" applyProtection="0">
      <alignment horizontal="right"/>
    </xf>
    <xf numFmtId="0" fontId="74" fillId="0" borderId="35" applyProtection="0">
      <alignment horizontal="right"/>
    </xf>
    <xf numFmtId="0" fontId="74" fillId="0" borderId="40" applyProtection="0">
      <alignment horizontal="center"/>
      <protection locked="0"/>
    </xf>
    <xf numFmtId="0" fontId="98" fillId="0" borderId="41" applyNumberFormat="0" applyFill="0" applyAlignment="0" applyProtection="0"/>
    <xf numFmtId="0" fontId="28" fillId="0" borderId="0"/>
    <xf numFmtId="0" fontId="28" fillId="0" borderId="0"/>
    <xf numFmtId="0" fontId="28" fillId="0" borderId="0"/>
    <xf numFmtId="1" fontId="28" fillId="0" borderId="0" applyFont="0" applyFill="0" applyBorder="0" applyProtection="0">
      <alignment horizontal="right"/>
    </xf>
    <xf numFmtId="1" fontId="28" fillId="0" borderId="0" applyFont="0" applyFill="0" applyBorder="0" applyProtection="0">
      <alignment horizontal="right"/>
    </xf>
    <xf numFmtId="0" fontId="99" fillId="3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xf numFmtId="0" fontId="70"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9" fillId="0" borderId="0"/>
    <xf numFmtId="0" fontId="2" fillId="0" borderId="0"/>
    <xf numFmtId="0" fontId="7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8"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48" borderId="42" applyNumberFormat="0" applyFont="0" applyAlignment="0" applyProtection="0"/>
    <xf numFmtId="0" fontId="100" fillId="43" borderId="43" applyNumberFormat="0" applyAlignment="0" applyProtection="0"/>
    <xf numFmtId="40" fontId="110" fillId="23" borderId="0">
      <alignment horizontal="right"/>
    </xf>
    <xf numFmtId="0" fontId="111" fillId="23" borderId="0">
      <alignment horizontal="right"/>
    </xf>
    <xf numFmtId="0" fontId="112" fillId="23" borderId="30"/>
    <xf numFmtId="0" fontId="112" fillId="0" borderId="0" applyBorder="0">
      <alignment horizontal="centerContinuous"/>
    </xf>
    <xf numFmtId="0" fontId="113" fillId="0" borderId="0" applyBorder="0">
      <alignment horizontal="centerContinuous"/>
    </xf>
    <xf numFmtId="201" fontId="28" fillId="0" borderId="0" applyFont="0" applyFill="0" applyBorder="0" applyProtection="0">
      <alignment horizontal="right"/>
    </xf>
    <xf numFmtId="201" fontId="28" fillId="0" borderId="0" applyFont="0" applyFill="0" applyBorder="0" applyProtection="0">
      <alignment horizontal="right"/>
    </xf>
    <xf numFmtId="10"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8" fillId="0" borderId="0"/>
    <xf numFmtId="2" fontId="114" fillId="49" borderId="3" applyAlignment="0" applyProtection="0">
      <protection locked="0"/>
    </xf>
    <xf numFmtId="0" fontId="115" fillId="47" borderId="3" applyNumberFormat="0" applyAlignment="0" applyProtection="0"/>
    <xf numFmtId="0" fontId="116" fillId="50" borderId="2" applyNumberFormat="0" applyAlignment="0" applyProtection="0">
      <alignment horizontal="center" vertical="center"/>
    </xf>
    <xf numFmtId="4" fontId="79" fillId="51" borderId="43" applyNumberFormat="0" applyProtection="0">
      <alignment vertical="center"/>
    </xf>
    <xf numFmtId="4" fontId="117" fillId="51" borderId="43" applyNumberFormat="0" applyProtection="0">
      <alignment vertical="center"/>
    </xf>
    <xf numFmtId="4" fontId="79" fillId="51" borderId="43" applyNumberFormat="0" applyProtection="0">
      <alignment horizontal="left" vertical="center" indent="1"/>
    </xf>
    <xf numFmtId="4" fontId="79" fillId="51" borderId="43" applyNumberFormat="0" applyProtection="0">
      <alignment horizontal="left" vertical="center" indent="1"/>
    </xf>
    <xf numFmtId="0" fontId="28" fillId="52" borderId="43" applyNumberFormat="0" applyProtection="0">
      <alignment horizontal="left" vertical="center" indent="1"/>
    </xf>
    <xf numFmtId="4" fontId="79" fillId="53" borderId="43" applyNumberFormat="0" applyProtection="0">
      <alignment horizontal="right" vertical="center"/>
    </xf>
    <xf numFmtId="4" fontId="79" fillId="54" borderId="43" applyNumberFormat="0" applyProtection="0">
      <alignment horizontal="right" vertical="center"/>
    </xf>
    <xf numFmtId="4" fontId="79" fillId="55" borderId="43" applyNumberFormat="0" applyProtection="0">
      <alignment horizontal="right" vertical="center"/>
    </xf>
    <xf numFmtId="4" fontId="79" fillId="56" borderId="43" applyNumberFormat="0" applyProtection="0">
      <alignment horizontal="right" vertical="center"/>
    </xf>
    <xf numFmtId="4" fontId="79" fillId="57" borderId="43" applyNumberFormat="0" applyProtection="0">
      <alignment horizontal="right" vertical="center"/>
    </xf>
    <xf numFmtId="4" fontId="79" fillId="58" borderId="43" applyNumberFormat="0" applyProtection="0">
      <alignment horizontal="right" vertical="center"/>
    </xf>
    <xf numFmtId="4" fontId="79" fillId="59" borderId="43" applyNumberFormat="0" applyProtection="0">
      <alignment horizontal="right" vertical="center"/>
    </xf>
    <xf numFmtId="4" fontId="79" fillId="60" borderId="43" applyNumberFormat="0" applyProtection="0">
      <alignment horizontal="right" vertical="center"/>
    </xf>
    <xf numFmtId="4" fontId="79" fillId="22" borderId="43" applyNumberFormat="0" applyProtection="0">
      <alignment horizontal="right" vertical="center"/>
    </xf>
    <xf numFmtId="4" fontId="118" fillId="61" borderId="43" applyNumberFormat="0" applyProtection="0">
      <alignment horizontal="left" vertical="center" indent="1"/>
    </xf>
    <xf numFmtId="4" fontId="79" fillId="62" borderId="44" applyNumberFormat="0" applyProtection="0">
      <alignment horizontal="left" vertical="center" indent="1"/>
    </xf>
    <xf numFmtId="4" fontId="119" fillId="63" borderId="0" applyNumberFormat="0" applyProtection="0">
      <alignment horizontal="left" vertical="center" indent="1"/>
    </xf>
    <xf numFmtId="0" fontId="28" fillId="52" borderId="43" applyNumberFormat="0" applyProtection="0">
      <alignment horizontal="left" vertical="center" indent="1"/>
    </xf>
    <xf numFmtId="4" fontId="79" fillId="62" borderId="43" applyNumberFormat="0" applyProtection="0">
      <alignment horizontal="left" vertical="center" indent="1"/>
    </xf>
    <xf numFmtId="4" fontId="79" fillId="64" borderId="43" applyNumberFormat="0" applyProtection="0">
      <alignment horizontal="left" vertical="center" indent="1"/>
    </xf>
    <xf numFmtId="0" fontId="28" fillId="64" borderId="43" applyNumberFormat="0" applyProtection="0">
      <alignment horizontal="left" vertical="center" indent="1"/>
    </xf>
    <xf numFmtId="0" fontId="28" fillId="64" borderId="43" applyNumberFormat="0" applyProtection="0">
      <alignment horizontal="left" vertical="center" indent="1"/>
    </xf>
    <xf numFmtId="0" fontId="28" fillId="50" borderId="43" applyNumberFormat="0" applyProtection="0">
      <alignment horizontal="left" vertical="center" indent="1"/>
    </xf>
    <xf numFmtId="0" fontId="28" fillId="50" borderId="43" applyNumberFormat="0" applyProtection="0">
      <alignment horizontal="left" vertical="center" indent="1"/>
    </xf>
    <xf numFmtId="0" fontId="28" fillId="45" borderId="43" applyNumberFormat="0" applyProtection="0">
      <alignment horizontal="left" vertical="center" indent="1"/>
    </xf>
    <xf numFmtId="0" fontId="28" fillId="45" borderId="43" applyNumberFormat="0" applyProtection="0">
      <alignment horizontal="left" vertical="center" indent="1"/>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79" fillId="47" borderId="43" applyNumberFormat="0" applyProtection="0">
      <alignment vertical="center"/>
    </xf>
    <xf numFmtId="4" fontId="117" fillId="47" borderId="43" applyNumberFormat="0" applyProtection="0">
      <alignment vertical="center"/>
    </xf>
    <xf numFmtId="4" fontId="79" fillId="47" borderId="43" applyNumberFormat="0" applyProtection="0">
      <alignment horizontal="left" vertical="center" indent="1"/>
    </xf>
    <xf numFmtId="4" fontId="79" fillId="47" borderId="43" applyNumberFormat="0" applyProtection="0">
      <alignment horizontal="left" vertical="center" indent="1"/>
    </xf>
    <xf numFmtId="4" fontId="79" fillId="62" borderId="43" applyNumberFormat="0" applyProtection="0">
      <alignment horizontal="right" vertical="center"/>
    </xf>
    <xf numFmtId="4" fontId="117" fillId="62" borderId="43" applyNumberFormat="0" applyProtection="0">
      <alignment horizontal="right" vertical="center"/>
    </xf>
    <xf numFmtId="0" fontId="28" fillId="52" borderId="43" applyNumberFormat="0" applyProtection="0">
      <alignment horizontal="left" vertical="center" indent="1"/>
    </xf>
    <xf numFmtId="0" fontId="28" fillId="52" borderId="43" applyNumberFormat="0" applyProtection="0">
      <alignment horizontal="left" vertical="center" indent="1"/>
    </xf>
    <xf numFmtId="0" fontId="120" fillId="0" borderId="0"/>
    <xf numFmtId="4" fontId="121" fillId="62" borderId="43" applyNumberFormat="0" applyProtection="0">
      <alignment horizontal="right" vertical="center"/>
    </xf>
    <xf numFmtId="0" fontId="28" fillId="0" borderId="0"/>
    <xf numFmtId="0" fontId="80" fillId="23" borderId="1">
      <alignment horizontal="center"/>
    </xf>
    <xf numFmtId="3" fontId="81" fillId="23" borderId="0"/>
    <xf numFmtId="3" fontId="80" fillId="23" borderId="0"/>
    <xf numFmtId="0" fontId="81" fillId="23" borderId="0"/>
    <xf numFmtId="0" fontId="80" fillId="23" borderId="0"/>
    <xf numFmtId="0" fontId="81" fillId="23" borderId="0">
      <alignment horizontal="center"/>
    </xf>
    <xf numFmtId="0" fontId="82" fillId="0" borderId="0">
      <alignment wrapText="1"/>
    </xf>
    <xf numFmtId="0" fontId="82" fillId="0" borderId="0">
      <alignment wrapText="1"/>
    </xf>
    <xf numFmtId="0" fontId="82" fillId="0" borderId="0">
      <alignment wrapText="1"/>
    </xf>
    <xf numFmtId="0" fontId="82" fillId="0" borderId="0">
      <alignment wrapText="1"/>
    </xf>
    <xf numFmtId="0" fontId="83" fillId="65" borderId="0">
      <alignment horizontal="right" vertical="top" wrapText="1"/>
    </xf>
    <xf numFmtId="0" fontId="83" fillId="65" borderId="0">
      <alignment horizontal="right" vertical="top" wrapText="1"/>
    </xf>
    <xf numFmtId="0" fontId="83" fillId="65" borderId="0">
      <alignment horizontal="right" vertical="top" wrapText="1"/>
    </xf>
    <xf numFmtId="0" fontId="83" fillId="65" borderId="0">
      <alignment horizontal="right" vertical="top" wrapText="1"/>
    </xf>
    <xf numFmtId="0" fontId="84" fillId="0" borderId="0"/>
    <xf numFmtId="0" fontId="84" fillId="0" borderId="0"/>
    <xf numFmtId="0" fontId="84" fillId="0" borderId="0"/>
    <xf numFmtId="0" fontId="84" fillId="0" borderId="0"/>
    <xf numFmtId="0" fontId="85" fillId="0" borderId="0"/>
    <xf numFmtId="0" fontId="85" fillId="0" borderId="0"/>
    <xf numFmtId="0" fontId="85" fillId="0" borderId="0"/>
    <xf numFmtId="0" fontId="86" fillId="0" borderId="0"/>
    <xf numFmtId="0" fontId="86" fillId="0" borderId="0"/>
    <xf numFmtId="0" fontId="86" fillId="0" borderId="0"/>
    <xf numFmtId="202" fontId="87" fillId="0" borderId="0">
      <alignment wrapText="1"/>
      <protection locked="0"/>
    </xf>
    <xf numFmtId="202" fontId="87" fillId="0" borderId="0">
      <alignment wrapText="1"/>
      <protection locked="0"/>
    </xf>
    <xf numFmtId="202" fontId="83" fillId="7" borderId="0">
      <alignment wrapText="1"/>
      <protection locked="0"/>
    </xf>
    <xf numFmtId="202" fontId="83" fillId="7" borderId="0">
      <alignment wrapText="1"/>
      <protection locked="0"/>
    </xf>
    <xf numFmtId="202" fontId="83" fillId="7" borderId="0">
      <alignment wrapText="1"/>
      <protection locked="0"/>
    </xf>
    <xf numFmtId="202" fontId="83" fillId="7" borderId="0">
      <alignment wrapText="1"/>
      <protection locked="0"/>
    </xf>
    <xf numFmtId="202" fontId="87" fillId="0" borderId="0">
      <alignment wrapText="1"/>
      <protection locked="0"/>
    </xf>
    <xf numFmtId="203" fontId="87" fillId="0" borderId="0">
      <alignment wrapText="1"/>
      <protection locked="0"/>
    </xf>
    <xf numFmtId="203" fontId="87" fillId="0" borderId="0">
      <alignment wrapText="1"/>
      <protection locked="0"/>
    </xf>
    <xf numFmtId="203" fontId="87" fillId="0" borderId="0">
      <alignment wrapText="1"/>
      <protection locked="0"/>
    </xf>
    <xf numFmtId="203" fontId="83" fillId="7" borderId="0">
      <alignment wrapText="1"/>
      <protection locked="0"/>
    </xf>
    <xf numFmtId="203" fontId="83" fillId="7" borderId="0">
      <alignment wrapText="1"/>
      <protection locked="0"/>
    </xf>
    <xf numFmtId="203" fontId="83" fillId="7" borderId="0">
      <alignment wrapText="1"/>
      <protection locked="0"/>
    </xf>
    <xf numFmtId="203" fontId="83" fillId="7" borderId="0">
      <alignment wrapText="1"/>
      <protection locked="0"/>
    </xf>
    <xf numFmtId="203" fontId="83" fillId="7" borderId="0">
      <alignment wrapText="1"/>
      <protection locked="0"/>
    </xf>
    <xf numFmtId="203" fontId="87" fillId="0" borderId="0">
      <alignment wrapText="1"/>
      <protection locked="0"/>
    </xf>
    <xf numFmtId="204" fontId="87" fillId="0" borderId="0">
      <alignment wrapText="1"/>
      <protection locked="0"/>
    </xf>
    <xf numFmtId="204" fontId="87" fillId="0" borderId="0">
      <alignment wrapText="1"/>
      <protection locked="0"/>
    </xf>
    <xf numFmtId="204" fontId="83" fillId="7" borderId="0">
      <alignment wrapText="1"/>
      <protection locked="0"/>
    </xf>
    <xf numFmtId="204" fontId="83" fillId="7" borderId="0">
      <alignment wrapText="1"/>
      <protection locked="0"/>
    </xf>
    <xf numFmtId="204" fontId="83" fillId="7" borderId="0">
      <alignment wrapText="1"/>
      <protection locked="0"/>
    </xf>
    <xf numFmtId="204" fontId="83" fillId="7" borderId="0">
      <alignment wrapText="1"/>
      <protection locked="0"/>
    </xf>
    <xf numFmtId="204" fontId="87" fillId="0" borderId="0">
      <alignment wrapText="1"/>
      <protection locked="0"/>
    </xf>
    <xf numFmtId="205" fontId="83" fillId="65" borderId="45">
      <alignment wrapText="1"/>
    </xf>
    <xf numFmtId="205" fontId="83" fillId="65" borderId="45">
      <alignment wrapText="1"/>
    </xf>
    <xf numFmtId="205" fontId="83" fillId="65" borderId="45">
      <alignment wrapText="1"/>
    </xf>
    <xf numFmtId="206" fontId="83" fillId="65" borderId="45">
      <alignment wrapText="1"/>
    </xf>
    <xf numFmtId="206" fontId="83" fillId="65" borderId="45">
      <alignment wrapText="1"/>
    </xf>
    <xf numFmtId="206" fontId="83" fillId="65" borderId="45">
      <alignment wrapText="1"/>
    </xf>
    <xf numFmtId="206" fontId="83" fillId="65" borderId="45">
      <alignment wrapText="1"/>
    </xf>
    <xf numFmtId="207" fontId="83" fillId="65" borderId="45">
      <alignment wrapText="1"/>
    </xf>
    <xf numFmtId="207" fontId="83" fillId="65" borderId="45">
      <alignment wrapText="1"/>
    </xf>
    <xf numFmtId="207" fontId="83" fillId="65" borderId="45">
      <alignment wrapText="1"/>
    </xf>
    <xf numFmtId="0" fontId="84" fillId="0" borderId="46">
      <alignment horizontal="right"/>
    </xf>
    <xf numFmtId="0" fontId="84" fillId="0" borderId="46">
      <alignment horizontal="right"/>
    </xf>
    <xf numFmtId="0" fontId="84" fillId="0" borderId="46">
      <alignment horizontal="right"/>
    </xf>
    <xf numFmtId="0" fontId="84" fillId="0" borderId="46">
      <alignment horizontal="right"/>
    </xf>
    <xf numFmtId="40" fontId="122" fillId="0" borderId="0"/>
    <xf numFmtId="0" fontId="101" fillId="0" borderId="0" applyNumberFormat="0" applyFill="0" applyBorder="0" applyAlignment="0" applyProtection="0"/>
    <xf numFmtId="0" fontId="4" fillId="0" borderId="0" applyNumberFormat="0" applyFill="0" applyBorder="0" applyProtection="0">
      <alignment horizontal="left" vertical="center" indent="10"/>
    </xf>
    <xf numFmtId="0" fontId="4" fillId="0" borderId="0" applyNumberFormat="0" applyFill="0" applyBorder="0" applyProtection="0">
      <alignment horizontal="left" vertical="center" indent="10"/>
    </xf>
    <xf numFmtId="0" fontId="102" fillId="0" borderId="47" applyNumberFormat="0" applyFill="0" applyAlignment="0" applyProtection="0"/>
    <xf numFmtId="0" fontId="103" fillId="0" borderId="0" applyNumberFormat="0" applyFill="0" applyBorder="0" applyAlignment="0" applyProtection="0"/>
    <xf numFmtId="0" fontId="8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210" fontId="2" fillId="0" borderId="0" applyFont="0" applyFill="0" applyBorder="0" applyAlignment="0" applyProtection="0"/>
    <xf numFmtId="0" fontId="28" fillId="0" borderId="0"/>
    <xf numFmtId="0" fontId="28" fillId="0" borderId="0"/>
    <xf numFmtId="43" fontId="2" fillId="0" borderId="0" applyFont="0" applyFill="0" applyBorder="0" applyAlignment="0" applyProtection="0"/>
    <xf numFmtId="0" fontId="28" fillId="0" borderId="0"/>
    <xf numFmtId="0" fontId="28" fillId="0" borderId="0"/>
    <xf numFmtId="0" fontId="28" fillId="0" borderId="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200" fontId="41" fillId="0" borderId="0" applyNumberFormat="0" applyFill="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90" fillId="43" borderId="33"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0" fontId="87" fillId="47" borderId="48" applyNumberFormat="0" applyBorder="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28" fillId="48" borderId="42" applyNumberFormat="0" applyFont="0" applyAlignment="0" applyProtection="0"/>
    <xf numFmtId="0" fontId="100" fillId="43" borderId="43" applyNumberFormat="0" applyAlignment="0" applyProtection="0"/>
    <xf numFmtId="0" fontId="116" fillId="50" borderId="48" applyNumberFormat="0" applyAlignment="0" applyProtection="0">
      <alignment horizontal="center" vertical="center"/>
    </xf>
    <xf numFmtId="4" fontId="79" fillId="51" borderId="43" applyNumberFormat="0" applyProtection="0">
      <alignment vertical="center"/>
    </xf>
    <xf numFmtId="4" fontId="117" fillId="51" borderId="43" applyNumberFormat="0" applyProtection="0">
      <alignment vertical="center"/>
    </xf>
    <xf numFmtId="4" fontId="79" fillId="51" borderId="43" applyNumberFormat="0" applyProtection="0">
      <alignment horizontal="left" vertical="center" indent="1"/>
    </xf>
    <xf numFmtId="4" fontId="79" fillId="51" borderId="43" applyNumberFormat="0" applyProtection="0">
      <alignment horizontal="left" vertical="center" indent="1"/>
    </xf>
    <xf numFmtId="0" fontId="28" fillId="52" borderId="43" applyNumberFormat="0" applyProtection="0">
      <alignment horizontal="left" vertical="center" indent="1"/>
    </xf>
    <xf numFmtId="4" fontId="79" fillId="53" borderId="43" applyNumberFormat="0" applyProtection="0">
      <alignment horizontal="right" vertical="center"/>
    </xf>
    <xf numFmtId="4" fontId="79" fillId="54" borderId="43" applyNumberFormat="0" applyProtection="0">
      <alignment horizontal="right" vertical="center"/>
    </xf>
    <xf numFmtId="4" fontId="79" fillId="55" borderId="43" applyNumberFormat="0" applyProtection="0">
      <alignment horizontal="right" vertical="center"/>
    </xf>
    <xf numFmtId="4" fontId="79" fillId="56" borderId="43" applyNumberFormat="0" applyProtection="0">
      <alignment horizontal="right" vertical="center"/>
    </xf>
    <xf numFmtId="4" fontId="79" fillId="57" borderId="43" applyNumberFormat="0" applyProtection="0">
      <alignment horizontal="right" vertical="center"/>
    </xf>
    <xf numFmtId="4" fontId="79" fillId="58" borderId="43" applyNumberFormat="0" applyProtection="0">
      <alignment horizontal="right" vertical="center"/>
    </xf>
    <xf numFmtId="4" fontId="79" fillId="59" borderId="43" applyNumberFormat="0" applyProtection="0">
      <alignment horizontal="right" vertical="center"/>
    </xf>
    <xf numFmtId="4" fontId="79" fillId="60" borderId="43" applyNumberFormat="0" applyProtection="0">
      <alignment horizontal="right" vertical="center"/>
    </xf>
    <xf numFmtId="4" fontId="79" fillId="22" borderId="43" applyNumberFormat="0" applyProtection="0">
      <alignment horizontal="right" vertical="center"/>
    </xf>
    <xf numFmtId="4" fontId="118" fillId="61" borderId="43" applyNumberFormat="0" applyProtection="0">
      <alignment horizontal="left" vertical="center" indent="1"/>
    </xf>
    <xf numFmtId="4" fontId="79" fillId="62" borderId="44" applyNumberFormat="0" applyProtection="0">
      <alignment horizontal="left" vertical="center" indent="1"/>
    </xf>
    <xf numFmtId="0" fontId="28" fillId="52" borderId="43" applyNumberFormat="0" applyProtection="0">
      <alignment horizontal="left" vertical="center" indent="1"/>
    </xf>
    <xf numFmtId="4" fontId="79" fillId="62" borderId="43" applyNumberFormat="0" applyProtection="0">
      <alignment horizontal="left" vertical="center" indent="1"/>
    </xf>
    <xf numFmtId="4" fontId="79" fillId="64" borderId="43" applyNumberFormat="0" applyProtection="0">
      <alignment horizontal="left" vertical="center" indent="1"/>
    </xf>
    <xf numFmtId="0" fontId="28" fillId="64" borderId="43" applyNumberFormat="0" applyProtection="0">
      <alignment horizontal="left" vertical="center" indent="1"/>
    </xf>
    <xf numFmtId="0" fontId="28" fillId="64" borderId="43" applyNumberFormat="0" applyProtection="0">
      <alignment horizontal="left" vertical="center" indent="1"/>
    </xf>
    <xf numFmtId="0" fontId="28" fillId="50" borderId="43" applyNumberFormat="0" applyProtection="0">
      <alignment horizontal="left" vertical="center" indent="1"/>
    </xf>
    <xf numFmtId="0" fontId="28" fillId="50" borderId="43" applyNumberFormat="0" applyProtection="0">
      <alignment horizontal="left" vertical="center" indent="1"/>
    </xf>
    <xf numFmtId="0" fontId="28" fillId="45" borderId="43" applyNumberFormat="0" applyProtection="0">
      <alignment horizontal="left" vertical="center" indent="1"/>
    </xf>
    <xf numFmtId="0" fontId="28" fillId="45" borderId="43" applyNumberFormat="0" applyProtection="0">
      <alignment horizontal="left" vertical="center" indent="1"/>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79" fillId="47" borderId="43" applyNumberFormat="0" applyProtection="0">
      <alignment vertical="center"/>
    </xf>
    <xf numFmtId="4" fontId="117" fillId="47" borderId="43" applyNumberFormat="0" applyProtection="0">
      <alignment vertical="center"/>
    </xf>
    <xf numFmtId="4" fontId="79" fillId="47" borderId="43" applyNumberFormat="0" applyProtection="0">
      <alignment horizontal="left" vertical="center" indent="1"/>
    </xf>
    <xf numFmtId="4" fontId="79" fillId="47" borderId="43" applyNumberFormat="0" applyProtection="0">
      <alignment horizontal="left" vertical="center" indent="1"/>
    </xf>
    <xf numFmtId="4" fontId="79" fillId="62" borderId="43" applyNumberFormat="0" applyProtection="0">
      <alignment horizontal="right" vertical="center"/>
    </xf>
    <xf numFmtId="4" fontId="117" fillId="62" borderId="43" applyNumberFormat="0" applyProtection="0">
      <alignment horizontal="right" vertical="center"/>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121" fillId="62" borderId="43" applyNumberFormat="0" applyProtection="0">
      <alignment horizontal="right" vertical="center"/>
    </xf>
    <xf numFmtId="0" fontId="80" fillId="23" borderId="49">
      <alignment horizontal="center"/>
    </xf>
    <xf numFmtId="205" fontId="83" fillId="65" borderId="45">
      <alignment wrapText="1"/>
    </xf>
    <xf numFmtId="205" fontId="83" fillId="65" borderId="45">
      <alignment wrapText="1"/>
    </xf>
    <xf numFmtId="206" fontId="83" fillId="65" borderId="45">
      <alignment wrapText="1"/>
    </xf>
    <xf numFmtId="206" fontId="83" fillId="65" borderId="45">
      <alignment wrapText="1"/>
    </xf>
    <xf numFmtId="206" fontId="83" fillId="65" borderId="45">
      <alignment wrapText="1"/>
    </xf>
    <xf numFmtId="207" fontId="83" fillId="65" borderId="45">
      <alignment wrapText="1"/>
    </xf>
    <xf numFmtId="207" fontId="83" fillId="65" borderId="45">
      <alignment wrapText="1"/>
    </xf>
    <xf numFmtId="0" fontId="102" fillId="0" borderId="47" applyNumberFormat="0" applyFill="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 fillId="0" borderId="0" applyFont="0" applyFill="0" applyBorder="0" applyAlignment="0" applyProtection="0"/>
    <xf numFmtId="0" fontId="28" fillId="0" borderId="0"/>
    <xf numFmtId="0" fontId="28" fillId="0" borderId="0"/>
    <xf numFmtId="0" fontId="28" fillId="0" borderId="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90" fillId="43" borderId="33"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28" fillId="48" borderId="42" applyNumberFormat="0" applyFont="0" applyAlignment="0" applyProtection="0"/>
    <xf numFmtId="0" fontId="100" fillId="43" borderId="43" applyNumberFormat="0" applyAlignment="0" applyProtection="0"/>
    <xf numFmtId="4" fontId="79" fillId="51" borderId="43" applyNumberFormat="0" applyProtection="0">
      <alignment vertical="center"/>
    </xf>
    <xf numFmtId="4" fontId="117" fillId="51" borderId="43" applyNumberFormat="0" applyProtection="0">
      <alignment vertical="center"/>
    </xf>
    <xf numFmtId="4" fontId="79" fillId="51" borderId="43" applyNumberFormat="0" applyProtection="0">
      <alignment horizontal="left" vertical="center" indent="1"/>
    </xf>
    <xf numFmtId="4" fontId="79" fillId="51" borderId="43" applyNumberFormat="0" applyProtection="0">
      <alignment horizontal="left" vertical="center" indent="1"/>
    </xf>
    <xf numFmtId="0" fontId="28" fillId="52" borderId="43" applyNumberFormat="0" applyProtection="0">
      <alignment horizontal="left" vertical="center" indent="1"/>
    </xf>
    <xf numFmtId="4" fontId="79" fillId="53" borderId="43" applyNumberFormat="0" applyProtection="0">
      <alignment horizontal="right" vertical="center"/>
    </xf>
    <xf numFmtId="4" fontId="79" fillId="54" borderId="43" applyNumberFormat="0" applyProtection="0">
      <alignment horizontal="right" vertical="center"/>
    </xf>
    <xf numFmtId="4" fontId="79" fillId="55" borderId="43" applyNumberFormat="0" applyProtection="0">
      <alignment horizontal="right" vertical="center"/>
    </xf>
    <xf numFmtId="4" fontId="79" fillId="56" borderId="43" applyNumberFormat="0" applyProtection="0">
      <alignment horizontal="right" vertical="center"/>
    </xf>
    <xf numFmtId="4" fontId="79" fillId="57" borderId="43" applyNumberFormat="0" applyProtection="0">
      <alignment horizontal="right" vertical="center"/>
    </xf>
    <xf numFmtId="4" fontId="79" fillId="58" borderId="43" applyNumberFormat="0" applyProtection="0">
      <alignment horizontal="right" vertical="center"/>
    </xf>
    <xf numFmtId="4" fontId="79" fillId="59" borderId="43" applyNumberFormat="0" applyProtection="0">
      <alignment horizontal="right" vertical="center"/>
    </xf>
    <xf numFmtId="4" fontId="79" fillId="60" borderId="43" applyNumberFormat="0" applyProtection="0">
      <alignment horizontal="right" vertical="center"/>
    </xf>
    <xf numFmtId="4" fontId="79" fillId="22" borderId="43" applyNumberFormat="0" applyProtection="0">
      <alignment horizontal="right" vertical="center"/>
    </xf>
    <xf numFmtId="4" fontId="118" fillId="61" borderId="43" applyNumberFormat="0" applyProtection="0">
      <alignment horizontal="left" vertical="center" indent="1"/>
    </xf>
    <xf numFmtId="0" fontId="28" fillId="52" borderId="43" applyNumberFormat="0" applyProtection="0">
      <alignment horizontal="left" vertical="center" indent="1"/>
    </xf>
    <xf numFmtId="4" fontId="79" fillId="62" borderId="43" applyNumberFormat="0" applyProtection="0">
      <alignment horizontal="left" vertical="center" indent="1"/>
    </xf>
    <xf numFmtId="4" fontId="79" fillId="64" borderId="43" applyNumberFormat="0" applyProtection="0">
      <alignment horizontal="left" vertical="center" indent="1"/>
    </xf>
    <xf numFmtId="0" fontId="28" fillId="64" borderId="43" applyNumberFormat="0" applyProtection="0">
      <alignment horizontal="left" vertical="center" indent="1"/>
    </xf>
    <xf numFmtId="0" fontId="28" fillId="64" borderId="43" applyNumberFormat="0" applyProtection="0">
      <alignment horizontal="left" vertical="center" indent="1"/>
    </xf>
    <xf numFmtId="0" fontId="28" fillId="50" borderId="43" applyNumberFormat="0" applyProtection="0">
      <alignment horizontal="left" vertical="center" indent="1"/>
    </xf>
    <xf numFmtId="0" fontId="28" fillId="50" borderId="43" applyNumberFormat="0" applyProtection="0">
      <alignment horizontal="left" vertical="center" indent="1"/>
    </xf>
    <xf numFmtId="0" fontId="28" fillId="45" borderId="43" applyNumberFormat="0" applyProtection="0">
      <alignment horizontal="left" vertical="center" indent="1"/>
    </xf>
    <xf numFmtId="0" fontId="28" fillId="45" borderId="43" applyNumberFormat="0" applyProtection="0">
      <alignment horizontal="left" vertical="center" indent="1"/>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79" fillId="47" borderId="43" applyNumberFormat="0" applyProtection="0">
      <alignment vertical="center"/>
    </xf>
    <xf numFmtId="4" fontId="117" fillId="47" borderId="43" applyNumberFormat="0" applyProtection="0">
      <alignment vertical="center"/>
    </xf>
    <xf numFmtId="4" fontId="79" fillId="47" borderId="43" applyNumberFormat="0" applyProtection="0">
      <alignment horizontal="left" vertical="center" indent="1"/>
    </xf>
    <xf numFmtId="4" fontId="79" fillId="47" borderId="43" applyNumberFormat="0" applyProtection="0">
      <alignment horizontal="left" vertical="center" indent="1"/>
    </xf>
    <xf numFmtId="4" fontId="79" fillId="62" borderId="43" applyNumberFormat="0" applyProtection="0">
      <alignment horizontal="right" vertical="center"/>
    </xf>
    <xf numFmtId="4" fontId="117" fillId="62" borderId="43" applyNumberFormat="0" applyProtection="0">
      <alignment horizontal="right" vertical="center"/>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121" fillId="62" borderId="43" applyNumberFormat="0" applyProtection="0">
      <alignment horizontal="right" vertical="center"/>
    </xf>
    <xf numFmtId="205" fontId="83" fillId="65" borderId="45">
      <alignment wrapText="1"/>
    </xf>
    <xf numFmtId="205" fontId="83" fillId="65" borderId="45">
      <alignment wrapText="1"/>
    </xf>
    <xf numFmtId="206" fontId="83" fillId="65" borderId="45">
      <alignment wrapText="1"/>
    </xf>
    <xf numFmtId="206" fontId="83" fillId="65" borderId="45">
      <alignment wrapText="1"/>
    </xf>
    <xf numFmtId="206" fontId="83" fillId="65" borderId="45">
      <alignment wrapText="1"/>
    </xf>
    <xf numFmtId="207" fontId="83" fillId="65" borderId="45">
      <alignment wrapText="1"/>
    </xf>
    <xf numFmtId="207" fontId="83" fillId="65" borderId="45">
      <alignment wrapText="1"/>
    </xf>
    <xf numFmtId="0" fontId="102" fillId="0" borderId="47" applyNumberFormat="0" applyFill="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0" fontId="87" fillId="47" borderId="50" applyNumberFormat="0" applyBorder="0" applyAlignment="0" applyProtection="0"/>
    <xf numFmtId="0" fontId="28" fillId="48" borderId="42" applyNumberFormat="0" applyFon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100" fillId="43" borderId="43" applyNumberFormat="0" applyAlignment="0" applyProtection="0"/>
    <xf numFmtId="0" fontId="97" fillId="29" borderId="33" applyNumberFormat="0" applyAlignment="0" applyProtection="0"/>
    <xf numFmtId="0" fontId="97" fillId="29" borderId="33" applyNumberFormat="0" applyAlignment="0" applyProtection="0"/>
    <xf numFmtId="0" fontId="97" fillId="29" borderId="33" applyNumberFormat="0" applyAlignment="0" applyProtection="0"/>
    <xf numFmtId="0" fontId="116" fillId="50" borderId="50" applyNumberFormat="0" applyAlignment="0" applyProtection="0">
      <alignment horizontal="center" vertical="center"/>
    </xf>
    <xf numFmtId="4" fontId="79" fillId="51" borderId="43" applyNumberFormat="0" applyProtection="0">
      <alignment vertical="center"/>
    </xf>
    <xf numFmtId="4" fontId="117" fillId="51" borderId="43" applyNumberFormat="0" applyProtection="0">
      <alignment vertical="center"/>
    </xf>
    <xf numFmtId="4" fontId="79" fillId="51" borderId="43" applyNumberFormat="0" applyProtection="0">
      <alignment horizontal="left" vertical="center" indent="1"/>
    </xf>
    <xf numFmtId="4" fontId="79" fillId="51" borderId="43" applyNumberFormat="0" applyProtection="0">
      <alignment horizontal="left" vertical="center" indent="1"/>
    </xf>
    <xf numFmtId="0" fontId="28" fillId="52" borderId="43" applyNumberFormat="0" applyProtection="0">
      <alignment horizontal="left" vertical="center" indent="1"/>
    </xf>
    <xf numFmtId="4" fontId="79" fillId="53" borderId="43" applyNumberFormat="0" applyProtection="0">
      <alignment horizontal="right" vertical="center"/>
    </xf>
    <xf numFmtId="4" fontId="79" fillId="54" borderId="43" applyNumberFormat="0" applyProtection="0">
      <alignment horizontal="right" vertical="center"/>
    </xf>
    <xf numFmtId="4" fontId="79" fillId="55" borderId="43" applyNumberFormat="0" applyProtection="0">
      <alignment horizontal="right" vertical="center"/>
    </xf>
    <xf numFmtId="4" fontId="79" fillId="56" borderId="43" applyNumberFormat="0" applyProtection="0">
      <alignment horizontal="right" vertical="center"/>
    </xf>
    <xf numFmtId="4" fontId="79" fillId="57" borderId="43" applyNumberFormat="0" applyProtection="0">
      <alignment horizontal="right" vertical="center"/>
    </xf>
    <xf numFmtId="4" fontId="79" fillId="58" borderId="43" applyNumberFormat="0" applyProtection="0">
      <alignment horizontal="right" vertical="center"/>
    </xf>
    <xf numFmtId="4" fontId="79" fillId="59" borderId="43" applyNumberFormat="0" applyProtection="0">
      <alignment horizontal="right" vertical="center"/>
    </xf>
    <xf numFmtId="4" fontId="79" fillId="60" borderId="43" applyNumberFormat="0" applyProtection="0">
      <alignment horizontal="right" vertical="center"/>
    </xf>
    <xf numFmtId="4" fontId="79" fillId="22" borderId="43" applyNumberFormat="0" applyProtection="0">
      <alignment horizontal="right" vertical="center"/>
    </xf>
    <xf numFmtId="4" fontId="118" fillId="61" borderId="43" applyNumberFormat="0" applyProtection="0">
      <alignment horizontal="left" vertical="center" indent="1"/>
    </xf>
    <xf numFmtId="0" fontId="28" fillId="52" borderId="43" applyNumberFormat="0" applyProtection="0">
      <alignment horizontal="left" vertical="center" indent="1"/>
    </xf>
    <xf numFmtId="4" fontId="79" fillId="62" borderId="43" applyNumberFormat="0" applyProtection="0">
      <alignment horizontal="left" vertical="center" indent="1"/>
    </xf>
    <xf numFmtId="4" fontId="79" fillId="64" borderId="43" applyNumberFormat="0" applyProtection="0">
      <alignment horizontal="left" vertical="center" indent="1"/>
    </xf>
    <xf numFmtId="0" fontId="28" fillId="64" borderId="43" applyNumberFormat="0" applyProtection="0">
      <alignment horizontal="left" vertical="center" indent="1"/>
    </xf>
    <xf numFmtId="0" fontId="28" fillId="64" borderId="43" applyNumberFormat="0" applyProtection="0">
      <alignment horizontal="left" vertical="center" indent="1"/>
    </xf>
    <xf numFmtId="0" fontId="28" fillId="50" borderId="43" applyNumberFormat="0" applyProtection="0">
      <alignment horizontal="left" vertical="center" indent="1"/>
    </xf>
    <xf numFmtId="0" fontId="28" fillId="50" borderId="43" applyNumberFormat="0" applyProtection="0">
      <alignment horizontal="left" vertical="center" indent="1"/>
    </xf>
    <xf numFmtId="0" fontId="28" fillId="45" borderId="43" applyNumberFormat="0" applyProtection="0">
      <alignment horizontal="left" vertical="center" indent="1"/>
    </xf>
    <xf numFmtId="0" fontId="28" fillId="45" borderId="43" applyNumberFormat="0" applyProtection="0">
      <alignment horizontal="left" vertical="center" indent="1"/>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79" fillId="47" borderId="43" applyNumberFormat="0" applyProtection="0">
      <alignment vertical="center"/>
    </xf>
    <xf numFmtId="4" fontId="117" fillId="47" borderId="43" applyNumberFormat="0" applyProtection="0">
      <alignment vertical="center"/>
    </xf>
    <xf numFmtId="4" fontId="79" fillId="47" borderId="43" applyNumberFormat="0" applyProtection="0">
      <alignment horizontal="left" vertical="center" indent="1"/>
    </xf>
    <xf numFmtId="4" fontId="79" fillId="47" borderId="43" applyNumberFormat="0" applyProtection="0">
      <alignment horizontal="left" vertical="center" indent="1"/>
    </xf>
    <xf numFmtId="4" fontId="79" fillId="62" borderId="43" applyNumberFormat="0" applyProtection="0">
      <alignment horizontal="right" vertical="center"/>
    </xf>
    <xf numFmtId="4" fontId="117" fillId="62" borderId="43" applyNumberFormat="0" applyProtection="0">
      <alignment horizontal="right" vertical="center"/>
    </xf>
    <xf numFmtId="0" fontId="28" fillId="52" borderId="43" applyNumberFormat="0" applyProtection="0">
      <alignment horizontal="left" vertical="center" indent="1"/>
    </xf>
    <xf numFmtId="0" fontId="28" fillId="52" borderId="43" applyNumberFormat="0" applyProtection="0">
      <alignment horizontal="left" vertical="center" indent="1"/>
    </xf>
    <xf numFmtId="4" fontId="121" fillId="62" borderId="43" applyNumberFormat="0" applyProtection="0">
      <alignment horizontal="right" vertical="center"/>
    </xf>
    <xf numFmtId="0" fontId="90" fillId="43" borderId="33" applyNumberFormat="0" applyAlignment="0" applyProtection="0"/>
    <xf numFmtId="0" fontId="102" fillId="0" borderId="47" applyNumberFormat="0" applyFill="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 fillId="0" borderId="0" applyFont="0" applyFill="0" applyBorder="0" applyAlignment="0" applyProtection="0"/>
    <xf numFmtId="0" fontId="97" fillId="29" borderId="33" applyNumberFormat="0" applyAlignment="0" applyProtection="0"/>
    <xf numFmtId="0" fontId="97" fillId="29" borderId="33" applyNumberFormat="0" applyAlignment="0" applyProtection="0"/>
    <xf numFmtId="205" fontId="83" fillId="65" borderId="45">
      <alignment wrapText="1"/>
    </xf>
    <xf numFmtId="205" fontId="83" fillId="65" borderId="45">
      <alignment wrapText="1"/>
    </xf>
    <xf numFmtId="206" fontId="83" fillId="65" borderId="45">
      <alignment wrapText="1"/>
    </xf>
    <xf numFmtId="206" fontId="83" fillId="65" borderId="45">
      <alignment wrapText="1"/>
    </xf>
    <xf numFmtId="206" fontId="83" fillId="65" borderId="45">
      <alignment wrapText="1"/>
    </xf>
    <xf numFmtId="207" fontId="83" fillId="65" borderId="45">
      <alignment wrapText="1"/>
    </xf>
    <xf numFmtId="207" fontId="83" fillId="65" borderId="45">
      <alignment wrapText="1"/>
    </xf>
    <xf numFmtId="43" fontId="2" fillId="0" borderId="0" applyFont="0" applyFill="0" applyBorder="0" applyAlignment="0" applyProtection="0"/>
    <xf numFmtId="0" fontId="28" fillId="0" borderId="0"/>
  </cellStyleXfs>
  <cellXfs count="473">
    <xf numFmtId="0" fontId="0" fillId="0" borderId="0" xfId="0"/>
    <xf numFmtId="0" fontId="0" fillId="0" borderId="0" xfId="0" applyFont="1"/>
    <xf numFmtId="0" fontId="0" fillId="0" borderId="1" xfId="0" applyBorder="1"/>
    <xf numFmtId="0" fontId="0" fillId="0" borderId="0" xfId="0" applyAlignment="1">
      <alignment horizontal="right" vertical="center"/>
    </xf>
    <xf numFmtId="10" fontId="0" fillId="0" borderId="0" xfId="0" applyNumberFormat="1" applyAlignment="1">
      <alignment horizontal="right" vertical="center"/>
    </xf>
    <xf numFmtId="0" fontId="1" fillId="0" borderId="0" xfId="0" applyFont="1"/>
    <xf numFmtId="0" fontId="0" fillId="0" borderId="5" xfId="0" applyBorder="1"/>
    <xf numFmtId="10" fontId="0" fillId="0" borderId="0" xfId="0" applyNumberFormat="1"/>
    <xf numFmtId="0" fontId="0" fillId="0" borderId="0" xfId="0"/>
    <xf numFmtId="0" fontId="10" fillId="0" borderId="0" xfId="0" applyFont="1"/>
    <xf numFmtId="0" fontId="0" fillId="0" borderId="0" xfId="0" applyBorder="1"/>
    <xf numFmtId="0" fontId="16" fillId="0" borderId="0" xfId="0" applyFont="1"/>
    <xf numFmtId="0" fontId="20" fillId="0" borderId="0" xfId="9" applyFont="1">
      <alignment vertical="center"/>
    </xf>
    <xf numFmtId="0" fontId="18" fillId="0" borderId="0" xfId="0" applyFont="1"/>
    <xf numFmtId="0" fontId="20" fillId="0" borderId="0" xfId="9" applyFont="1" applyFill="1">
      <alignment vertical="center"/>
    </xf>
    <xf numFmtId="0" fontId="19" fillId="0" borderId="0" xfId="4" applyFont="1" applyFill="1" applyAlignment="1">
      <alignment vertical="center" wrapText="1"/>
    </xf>
    <xf numFmtId="0" fontId="21" fillId="0" borderId="0" xfId="9" applyFont="1" applyFill="1">
      <alignment vertical="center"/>
    </xf>
    <xf numFmtId="0" fontId="23" fillId="0" borderId="0" xfId="9" applyFont="1">
      <alignment vertical="center"/>
    </xf>
    <xf numFmtId="0" fontId="23" fillId="0" borderId="0" xfId="20" applyFont="1"/>
    <xf numFmtId="0" fontId="24" fillId="0" borderId="0" xfId="20" applyFont="1"/>
    <xf numFmtId="0" fontId="27" fillId="0" borderId="0" xfId="20" applyFont="1"/>
    <xf numFmtId="3" fontId="23" fillId="0" borderId="0" xfId="20" applyNumberFormat="1" applyFont="1"/>
    <xf numFmtId="0" fontId="29" fillId="8" borderId="0" xfId="20" applyFont="1" applyFill="1" applyAlignment="1">
      <alignment horizontal="right"/>
    </xf>
    <xf numFmtId="0" fontId="25" fillId="0" borderId="0" xfId="22" applyFont="1" applyBorder="1"/>
    <xf numFmtId="10" fontId="23" fillId="0" borderId="0" xfId="20" applyNumberFormat="1" applyFont="1"/>
    <xf numFmtId="0" fontId="25" fillId="0" borderId="0" xfId="22" applyFont="1" applyBorder="1" applyAlignment="1">
      <alignment horizontal="left" vertical="center"/>
    </xf>
    <xf numFmtId="10" fontId="23" fillId="0" borderId="0" xfId="20" applyNumberFormat="1" applyFont="1" applyBorder="1"/>
    <xf numFmtId="0" fontId="23" fillId="0" borderId="11" xfId="20" applyFont="1" applyBorder="1"/>
    <xf numFmtId="10" fontId="23" fillId="0" borderId="11" xfId="20" applyNumberFormat="1" applyFont="1" applyBorder="1"/>
    <xf numFmtId="0" fontId="31" fillId="0" borderId="0" xfId="20" applyFont="1"/>
    <xf numFmtId="0" fontId="31" fillId="0" borderId="0" xfId="20" applyFont="1" applyAlignment="1">
      <alignment horizontal="right"/>
    </xf>
    <xf numFmtId="3" fontId="31" fillId="0" borderId="0" xfId="20" applyNumberFormat="1" applyFont="1" applyAlignment="1">
      <alignment horizontal="right"/>
    </xf>
    <xf numFmtId="0" fontId="29" fillId="8" borderId="0" xfId="4" quotePrefix="1" applyFont="1" applyFill="1" applyAlignment="1">
      <alignment horizontal="right" vertical="center"/>
    </xf>
    <xf numFmtId="0" fontId="25" fillId="0" borderId="0" xfId="0" applyFont="1"/>
    <xf numFmtId="0" fontId="32" fillId="0" borderId="0" xfId="0" applyFont="1"/>
    <xf numFmtId="164" fontId="25" fillId="0" borderId="0" xfId="0" applyNumberFormat="1" applyFont="1"/>
    <xf numFmtId="0" fontId="29" fillId="8" borderId="0" xfId="20" applyFont="1" applyFill="1" applyAlignment="1">
      <alignment horizontal="center"/>
    </xf>
    <xf numFmtId="3" fontId="23" fillId="0" borderId="0" xfId="20" applyNumberFormat="1" applyFont="1" applyFill="1"/>
    <xf numFmtId="0" fontId="23" fillId="0" borderId="0" xfId="20" applyFont="1"/>
    <xf numFmtId="0" fontId="29" fillId="8" borderId="0" xfId="20" applyFont="1" applyFill="1" applyAlignment="1">
      <alignment horizontal="right"/>
    </xf>
    <xf numFmtId="0" fontId="24" fillId="0" borderId="0" xfId="20" applyFont="1"/>
    <xf numFmtId="0" fontId="31" fillId="0" borderId="0" xfId="20" applyFont="1"/>
    <xf numFmtId="179" fontId="21" fillId="0" borderId="0" xfId="20" applyNumberFormat="1" applyFont="1"/>
    <xf numFmtId="179" fontId="23" fillId="0" borderId="0" xfId="20" applyNumberFormat="1" applyFont="1"/>
    <xf numFmtId="179" fontId="24" fillId="0" borderId="0" xfId="20" applyNumberFormat="1" applyFont="1"/>
    <xf numFmtId="179" fontId="31" fillId="0" borderId="0" xfId="20" applyNumberFormat="1" applyFont="1"/>
    <xf numFmtId="179" fontId="23" fillId="0" borderId="0" xfId="20" applyNumberFormat="1" applyFont="1" applyAlignment="1">
      <alignment horizontal="center"/>
    </xf>
    <xf numFmtId="0" fontId="22" fillId="0" borderId="0" xfId="20" applyFont="1"/>
    <xf numFmtId="0" fontId="34" fillId="0" borderId="0" xfId="20" applyFont="1"/>
    <xf numFmtId="164" fontId="25" fillId="0" borderId="0" xfId="1" applyNumberFormat="1" applyFont="1"/>
    <xf numFmtId="0" fontId="25" fillId="0" borderId="0" xfId="0" applyFont="1" applyBorder="1"/>
    <xf numFmtId="0" fontId="25" fillId="0" borderId="0" xfId="0" applyFont="1" applyAlignment="1">
      <alignment vertical="center"/>
    </xf>
    <xf numFmtId="10" fontId="25" fillId="0" borderId="0" xfId="3" applyNumberFormat="1" applyFont="1"/>
    <xf numFmtId="0" fontId="25" fillId="0" borderId="0" xfId="0" applyFont="1" applyAlignment="1">
      <alignment horizontal="center" vertical="center" wrapText="1"/>
    </xf>
    <xf numFmtId="175" fontId="25" fillId="0" borderId="0" xfId="0" applyNumberFormat="1" applyFont="1"/>
    <xf numFmtId="0" fontId="25" fillId="0" borderId="0" xfId="0" applyFont="1" applyFill="1" applyBorder="1"/>
    <xf numFmtId="0" fontId="25" fillId="0" borderId="0" xfId="0" applyFont="1" applyAlignment="1">
      <alignment horizontal="left" vertical="center"/>
    </xf>
    <xf numFmtId="0" fontId="27" fillId="0" borderId="0" xfId="0" applyFont="1" applyAlignment="1">
      <alignment horizontal="left"/>
    </xf>
    <xf numFmtId="180" fontId="23" fillId="0" borderId="0" xfId="20" applyNumberFormat="1" applyFont="1"/>
    <xf numFmtId="181" fontId="23" fillId="0" borderId="0" xfId="20" applyNumberFormat="1" applyFont="1"/>
    <xf numFmtId="0" fontId="31" fillId="0" borderId="0" xfId="0" applyFont="1"/>
    <xf numFmtId="181" fontId="25" fillId="0" borderId="0" xfId="0" applyNumberFormat="1" applyFont="1"/>
    <xf numFmtId="0" fontId="18" fillId="0" borderId="0" xfId="0" applyFont="1" applyAlignment="1">
      <alignment horizontal="center"/>
    </xf>
    <xf numFmtId="180" fontId="25" fillId="0" borderId="0" xfId="0" applyNumberFormat="1" applyFont="1"/>
    <xf numFmtId="180" fontId="0" fillId="0" borderId="0" xfId="0" applyNumberFormat="1"/>
    <xf numFmtId="0" fontId="27" fillId="0" borderId="0" xfId="0" applyFont="1" applyAlignment="1">
      <alignment vertical="center" wrapText="1"/>
    </xf>
    <xf numFmtId="180" fontId="25" fillId="0" borderId="5" xfId="0" applyNumberFormat="1" applyFont="1" applyBorder="1"/>
    <xf numFmtId="165" fontId="25" fillId="0" borderId="0" xfId="3" applyNumberFormat="1" applyFont="1"/>
    <xf numFmtId="10" fontId="0" fillId="0" borderId="0" xfId="0" applyNumberFormat="1" applyFont="1"/>
    <xf numFmtId="10" fontId="25" fillId="0" borderId="0" xfId="0" applyNumberFormat="1" applyFont="1"/>
    <xf numFmtId="10" fontId="25" fillId="0" borderId="5" xfId="0" applyNumberFormat="1" applyFont="1" applyBorder="1"/>
    <xf numFmtId="0" fontId="31" fillId="0" borderId="0" xfId="0" applyFont="1" applyAlignment="1">
      <alignment horizontal="right"/>
    </xf>
    <xf numFmtId="171" fontId="25" fillId="0" borderId="0" xfId="0" applyNumberFormat="1" applyFont="1"/>
    <xf numFmtId="171" fontId="25" fillId="0" borderId="0" xfId="0" applyNumberFormat="1" applyFont="1" applyBorder="1"/>
    <xf numFmtId="0" fontId="25" fillId="0" borderId="5" xfId="0" applyFont="1" applyBorder="1"/>
    <xf numFmtId="0" fontId="25" fillId="0" borderId="0" xfId="0" applyFont="1" applyAlignment="1">
      <alignment horizontal="right" vertical="center"/>
    </xf>
    <xf numFmtId="0" fontId="35" fillId="0" borderId="0" xfId="0" applyFont="1"/>
    <xf numFmtId="182" fontId="25" fillId="0" borderId="0" xfId="0" applyNumberFormat="1" applyFont="1"/>
    <xf numFmtId="0" fontId="22" fillId="0" borderId="0" xfId="9" applyFont="1">
      <alignment vertical="center"/>
    </xf>
    <xf numFmtId="0" fontId="29" fillId="8" borderId="0" xfId="0" applyFont="1" applyFill="1" applyAlignment="1">
      <alignment horizontal="right"/>
    </xf>
    <xf numFmtId="0" fontId="11" fillId="0" borderId="0" xfId="0" applyFont="1"/>
    <xf numFmtId="0" fontId="36" fillId="0" borderId="0" xfId="0" applyFont="1"/>
    <xf numFmtId="0" fontId="25" fillId="0" borderId="0" xfId="0" applyFont="1" applyAlignment="1">
      <alignment horizontal="right"/>
    </xf>
    <xf numFmtId="0" fontId="25" fillId="0" borderId="0" xfId="0" applyFont="1" applyAlignment="1">
      <alignment horizontal="center"/>
    </xf>
    <xf numFmtId="0" fontId="25" fillId="0" borderId="0" xfId="0" applyFont="1" applyAlignment="1">
      <alignment horizontal="center" vertical="center"/>
    </xf>
    <xf numFmtId="10" fontId="25" fillId="0" borderId="0" xfId="0" applyNumberFormat="1" applyFont="1" applyFill="1" applyBorder="1"/>
    <xf numFmtId="7" fontId="25" fillId="0" borderId="0" xfId="0" applyNumberFormat="1" applyFont="1" applyFill="1" applyBorder="1" applyAlignment="1">
      <alignment horizontal="right"/>
    </xf>
    <xf numFmtId="0" fontId="23" fillId="0" borderId="0" xfId="4" applyFont="1">
      <alignment vertical="center"/>
    </xf>
    <xf numFmtId="0" fontId="32" fillId="6" borderId="0" xfId="0" applyFont="1" applyFill="1"/>
    <xf numFmtId="10" fontId="25" fillId="0" borderId="0" xfId="0" applyNumberFormat="1" applyFont="1" applyAlignment="1">
      <alignment horizontal="center"/>
    </xf>
    <xf numFmtId="172" fontId="25" fillId="0" borderId="0" xfId="0" applyNumberFormat="1" applyFont="1"/>
    <xf numFmtId="0" fontId="25" fillId="0" borderId="5" xfId="0" applyFont="1" applyBorder="1" applyAlignment="1">
      <alignment vertical="center"/>
    </xf>
    <xf numFmtId="166" fontId="25" fillId="0" borderId="0" xfId="0" applyNumberFormat="1" applyFont="1"/>
    <xf numFmtId="0" fontId="25" fillId="0" borderId="8" xfId="0" applyFont="1" applyBorder="1" applyAlignment="1">
      <alignment vertical="center"/>
    </xf>
    <xf numFmtId="0" fontId="25" fillId="0" borderId="0" xfId="0" applyFont="1" applyBorder="1" applyAlignment="1">
      <alignment vertical="center"/>
    </xf>
    <xf numFmtId="166" fontId="25" fillId="0" borderId="0" xfId="0" applyNumberFormat="1" applyFont="1" applyBorder="1" applyAlignment="1">
      <alignment vertical="center"/>
    </xf>
    <xf numFmtId="0" fontId="29" fillId="9" borderId="0" xfId="0" applyFont="1" applyFill="1"/>
    <xf numFmtId="168" fontId="25" fillId="0" borderId="0" xfId="0" applyNumberFormat="1" applyFont="1" applyAlignment="1">
      <alignment horizontal="right"/>
    </xf>
    <xf numFmtId="0" fontId="25" fillId="0" borderId="1" xfId="0" applyFont="1" applyBorder="1"/>
    <xf numFmtId="0" fontId="29" fillId="8" borderId="0" xfId="0" applyFont="1" applyFill="1" applyAlignment="1">
      <alignment vertical="center"/>
    </xf>
    <xf numFmtId="0" fontId="38" fillId="0" borderId="0" xfId="0" applyFont="1"/>
    <xf numFmtId="9" fontId="25" fillId="0" borderId="0" xfId="3" applyFont="1"/>
    <xf numFmtId="168" fontId="25" fillId="0" borderId="0" xfId="0" applyNumberFormat="1" applyFont="1"/>
    <xf numFmtId="164" fontId="25" fillId="0" borderId="0" xfId="1" applyNumberFormat="1" applyFont="1" applyFill="1" applyBorder="1" applyAlignment="1">
      <alignment horizontal="center"/>
    </xf>
    <xf numFmtId="0" fontId="29" fillId="8" borderId="0" xfId="22" applyFont="1" applyFill="1" applyBorder="1" applyAlignment="1">
      <alignment horizontal="left" vertical="center"/>
    </xf>
    <xf numFmtId="165" fontId="25" fillId="0" borderId="0" xfId="3" applyNumberFormat="1" applyFont="1" applyBorder="1"/>
    <xf numFmtId="0" fontId="25" fillId="0" borderId="0" xfId="0" applyFont="1" applyFill="1" applyAlignment="1"/>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0" fillId="0" borderId="0" xfId="0" applyBorder="1" applyAlignment="1">
      <alignment horizontal="left"/>
    </xf>
    <xf numFmtId="0" fontId="25" fillId="0" borderId="5" xfId="0" applyFont="1" applyFill="1" applyBorder="1" applyAlignment="1">
      <alignment horizontal="left" vertical="center"/>
    </xf>
    <xf numFmtId="175" fontId="25" fillId="0" borderId="5" xfId="0" applyNumberFormat="1" applyFont="1" applyBorder="1"/>
    <xf numFmtId="0" fontId="25" fillId="0" borderId="5" xfId="0" applyFont="1" applyBorder="1" applyAlignment="1">
      <alignment horizontal="left" vertical="center"/>
    </xf>
    <xf numFmtId="10" fontId="25" fillId="0" borderId="0" xfId="0" quotePrefix="1" applyNumberFormat="1" applyFont="1" applyAlignment="1">
      <alignment vertical="center"/>
    </xf>
    <xf numFmtId="0" fontId="39" fillId="0" borderId="0" xfId="0" applyFont="1"/>
    <xf numFmtId="0" fontId="29" fillId="8" borderId="0" xfId="0" applyFont="1" applyFill="1" applyAlignment="1">
      <alignment horizontal="center" vertical="center" wrapText="1"/>
    </xf>
    <xf numFmtId="185" fontId="25" fillId="0" borderId="0" xfId="0" applyNumberFormat="1" applyFont="1"/>
    <xf numFmtId="0" fontId="28" fillId="0" borderId="0" xfId="9" applyFont="1">
      <alignment vertical="center"/>
    </xf>
    <xf numFmtId="174" fontId="25" fillId="0" borderId="0" xfId="3" applyNumberFormat="1" applyFont="1"/>
    <xf numFmtId="7" fontId="25" fillId="0" borderId="0" xfId="0" applyNumberFormat="1" applyFont="1" applyAlignment="1">
      <alignment horizontal="right"/>
    </xf>
    <xf numFmtId="0" fontId="11" fillId="0" borderId="0" xfId="0" applyFont="1" applyAlignment="1">
      <alignment vertical="center"/>
    </xf>
    <xf numFmtId="0" fontId="25" fillId="5" borderId="0" xfId="0" applyFont="1" applyFill="1"/>
    <xf numFmtId="164" fontId="25" fillId="5" borderId="0" xfId="0" applyNumberFormat="1" applyFont="1" applyFill="1" applyAlignment="1">
      <alignment vertical="center"/>
    </xf>
    <xf numFmtId="0" fontId="23" fillId="5" borderId="0" xfId="9" applyFont="1" applyFill="1">
      <alignment vertical="center"/>
    </xf>
    <xf numFmtId="179" fontId="23" fillId="0" borderId="0" xfId="20" applyNumberFormat="1" applyFont="1" applyFill="1"/>
    <xf numFmtId="165" fontId="25" fillId="0" borderId="0" xfId="3" applyNumberFormat="1" applyFont="1" applyFill="1"/>
    <xf numFmtId="179" fontId="23" fillId="0" borderId="0" xfId="20" applyNumberFormat="1" applyFont="1" applyFill="1" applyBorder="1"/>
    <xf numFmtId="179" fontId="23" fillId="0" borderId="0" xfId="20" applyNumberFormat="1" applyFont="1" applyBorder="1"/>
    <xf numFmtId="176" fontId="23" fillId="0" borderId="0" xfId="20" applyNumberFormat="1" applyFont="1"/>
    <xf numFmtId="0" fontId="23" fillId="0" borderId="0" xfId="20" applyFont="1" applyBorder="1"/>
    <xf numFmtId="0" fontId="25" fillId="0" borderId="0" xfId="0" applyFont="1" applyFill="1"/>
    <xf numFmtId="10" fontId="25" fillId="0" borderId="0" xfId="0" applyNumberFormat="1" applyFont="1" applyFill="1"/>
    <xf numFmtId="10" fontId="25" fillId="0" borderId="8" xfId="3" applyNumberFormat="1" applyFont="1" applyFill="1" applyBorder="1" applyAlignment="1">
      <alignment vertical="center"/>
    </xf>
    <xf numFmtId="2" fontId="25" fillId="0" borderId="0" xfId="0" applyNumberFormat="1" applyFont="1" applyFill="1" applyAlignment="1">
      <alignment horizontal="right"/>
    </xf>
    <xf numFmtId="43" fontId="25" fillId="5" borderId="0" xfId="0" applyNumberFormat="1" applyFont="1" applyFill="1"/>
    <xf numFmtId="164" fontId="25" fillId="5" borderId="0" xfId="1" applyNumberFormat="1" applyFont="1" applyFill="1"/>
    <xf numFmtId="166" fontId="25" fillId="5" borderId="0" xfId="0" applyNumberFormat="1" applyFont="1" applyFill="1"/>
    <xf numFmtId="165" fontId="23" fillId="0" borderId="0" xfId="20" applyNumberFormat="1" applyFont="1" applyFill="1"/>
    <xf numFmtId="165" fontId="25" fillId="0" borderId="0" xfId="1" applyNumberFormat="1" applyFont="1" applyFill="1"/>
    <xf numFmtId="165" fontId="23" fillId="0" borderId="5" xfId="20" applyNumberFormat="1" applyFont="1" applyFill="1" applyBorder="1"/>
    <xf numFmtId="180" fontId="25" fillId="0" borderId="0" xfId="0" applyNumberFormat="1" applyFont="1" applyFill="1"/>
    <xf numFmtId="0" fontId="0" fillId="5" borderId="0" xfId="0" applyFill="1"/>
    <xf numFmtId="10" fontId="0" fillId="5" borderId="0" xfId="0" applyNumberFormat="1" applyFill="1"/>
    <xf numFmtId="0" fontId="11" fillId="0" borderId="0" xfId="22" applyFont="1" applyFill="1" applyBorder="1" applyAlignment="1">
      <alignment horizontal="left" vertical="center"/>
    </xf>
    <xf numFmtId="0" fontId="29" fillId="8" borderId="0" xfId="20" applyFont="1" applyFill="1" applyBorder="1" applyAlignment="1">
      <alignment horizontal="center"/>
    </xf>
    <xf numFmtId="0" fontId="25" fillId="0" borderId="0" xfId="22" applyFont="1" applyFill="1" applyBorder="1" applyAlignment="1">
      <alignment horizontal="left" vertical="center"/>
    </xf>
    <xf numFmtId="0" fontId="47" fillId="0" borderId="0" xfId="20" applyFont="1"/>
    <xf numFmtId="0" fontId="23" fillId="0" borderId="5" xfId="20" applyFont="1" applyBorder="1"/>
    <xf numFmtId="10" fontId="23" fillId="0" borderId="5" xfId="20" applyNumberFormat="1" applyFont="1" applyBorder="1"/>
    <xf numFmtId="10" fontId="25" fillId="0" borderId="5" xfId="3" applyNumberFormat="1" applyFont="1" applyBorder="1"/>
    <xf numFmtId="0" fontId="18" fillId="0" borderId="5" xfId="0" applyFont="1" applyBorder="1" applyAlignment="1">
      <alignment horizontal="center"/>
    </xf>
    <xf numFmtId="0" fontId="1" fillId="0" borderId="0" xfId="22" applyFont="1" applyFill="1" applyBorder="1" applyAlignment="1">
      <alignment horizontal="left" vertical="center"/>
    </xf>
    <xf numFmtId="10" fontId="25" fillId="0" borderId="0" xfId="0" applyNumberFormat="1" applyFont="1" applyBorder="1"/>
    <xf numFmtId="9" fontId="25" fillId="0" borderId="0" xfId="0" applyNumberFormat="1" applyFont="1"/>
    <xf numFmtId="10" fontId="25" fillId="0" borderId="0" xfId="0" applyNumberFormat="1" applyFont="1" applyAlignment="1">
      <alignment horizontal="right"/>
    </xf>
    <xf numFmtId="0" fontId="25" fillId="0" borderId="0" xfId="0" applyFont="1" applyAlignment="1">
      <alignment horizontal="left" indent="1"/>
    </xf>
    <xf numFmtId="10" fontId="25" fillId="0" borderId="0" xfId="0" applyNumberFormat="1" applyFont="1" applyAlignment="1">
      <alignment vertical="center"/>
    </xf>
    <xf numFmtId="7" fontId="25" fillId="0" borderId="0" xfId="0" applyNumberFormat="1" applyFont="1"/>
    <xf numFmtId="171" fontId="25" fillId="0" borderId="0" xfId="1" applyNumberFormat="1" applyFont="1"/>
    <xf numFmtId="192" fontId="25" fillId="0" borderId="0" xfId="0" applyNumberFormat="1" applyFont="1"/>
    <xf numFmtId="10" fontId="25" fillId="5" borderId="0" xfId="0" applyNumberFormat="1" applyFont="1" applyFill="1"/>
    <xf numFmtId="2" fontId="25" fillId="0" borderId="0" xfId="3" applyNumberFormat="1" applyFont="1" applyAlignment="1">
      <alignment horizontal="center"/>
    </xf>
    <xf numFmtId="165" fontId="25" fillId="0" borderId="0" xfId="3" applyNumberFormat="1" applyFont="1" applyAlignment="1">
      <alignment horizontal="center"/>
    </xf>
    <xf numFmtId="7" fontId="25" fillId="0" borderId="0" xfId="0" applyNumberFormat="1" applyFont="1" applyFill="1" applyBorder="1" applyAlignment="1">
      <alignment horizontal="center"/>
    </xf>
    <xf numFmtId="168" fontId="25" fillId="0" borderId="0" xfId="0" applyNumberFormat="1" applyFont="1" applyBorder="1" applyAlignment="1">
      <alignment horizontal="right" wrapText="1"/>
    </xf>
    <xf numFmtId="168" fontId="25" fillId="0" borderId="0" xfId="0" applyNumberFormat="1" applyFont="1" applyFill="1" applyBorder="1" applyAlignment="1">
      <alignment horizontal="right" wrapText="1"/>
    </xf>
    <xf numFmtId="7" fontId="25" fillId="0" borderId="0" xfId="0" applyNumberFormat="1" applyFont="1" applyFill="1" applyBorder="1" applyAlignment="1">
      <alignment horizontal="right" wrapText="1"/>
    </xf>
    <xf numFmtId="7" fontId="25" fillId="0" borderId="0" xfId="0" applyNumberFormat="1" applyFont="1" applyBorder="1" applyAlignment="1">
      <alignment horizontal="right" wrapText="1"/>
    </xf>
    <xf numFmtId="7" fontId="25" fillId="0" borderId="0" xfId="0" applyNumberFormat="1" applyFont="1" applyBorder="1" applyAlignment="1">
      <alignment horizontal="right"/>
    </xf>
    <xf numFmtId="7" fontId="25" fillId="0" borderId="0" xfId="0" applyNumberFormat="1" applyFont="1" applyFill="1" applyAlignment="1">
      <alignment horizontal="right"/>
    </xf>
    <xf numFmtId="43" fontId="25" fillId="0" borderId="0" xfId="1" applyFont="1" applyFill="1"/>
    <xf numFmtId="2" fontId="25" fillId="0" borderId="0" xfId="3" applyNumberFormat="1" applyFont="1" applyAlignment="1">
      <alignment horizontal="right"/>
    </xf>
    <xf numFmtId="0" fontId="11" fillId="5" borderId="0" xfId="0" applyFont="1" applyFill="1"/>
    <xf numFmtId="7" fontId="25" fillId="5" borderId="0" xfId="0" applyNumberFormat="1" applyFont="1" applyFill="1"/>
    <xf numFmtId="10" fontId="0" fillId="0" borderId="1" xfId="0" applyNumberFormat="1" applyBorder="1"/>
    <xf numFmtId="7" fontId="25" fillId="0" borderId="0" xfId="0" applyNumberFormat="1" applyFont="1" applyFill="1" applyBorder="1" applyAlignment="1"/>
    <xf numFmtId="10" fontId="25" fillId="0" borderId="0" xfId="0" applyNumberFormat="1" applyFont="1" applyFill="1" applyBorder="1" applyAlignment="1">
      <alignment horizontal="right" vertical="center"/>
    </xf>
    <xf numFmtId="168" fontId="25" fillId="0" borderId="0" xfId="0" applyNumberFormat="1" applyFont="1" applyFill="1"/>
    <xf numFmtId="9" fontId="25" fillId="0" borderId="0" xfId="3" applyFont="1" applyFill="1"/>
    <xf numFmtId="0" fontId="29" fillId="0" borderId="0" xfId="0" applyFont="1" applyFill="1" applyAlignment="1">
      <alignment horizontal="center"/>
    </xf>
    <xf numFmtId="7" fontId="25" fillId="0" borderId="0" xfId="1" applyNumberFormat="1" applyFont="1" applyFill="1"/>
    <xf numFmtId="0" fontId="11" fillId="5" borderId="2" xfId="0" applyFont="1" applyFill="1" applyBorder="1" applyAlignment="1">
      <alignment horizontal="right" vertical="center"/>
    </xf>
    <xf numFmtId="7" fontId="25" fillId="0" borderId="0" xfId="0" applyNumberFormat="1" applyFont="1" applyFill="1"/>
    <xf numFmtId="0" fontId="29" fillId="8" borderId="0" xfId="0" applyFont="1" applyFill="1" applyBorder="1" applyAlignment="1">
      <alignment horizontal="right" vertical="center"/>
    </xf>
    <xf numFmtId="14" fontId="29" fillId="8" borderId="0" xfId="0" applyNumberFormat="1" applyFont="1" applyFill="1" applyBorder="1" applyAlignment="1">
      <alignment horizontal="right" vertical="center" wrapText="1"/>
    </xf>
    <xf numFmtId="17" fontId="30" fillId="8" borderId="0" xfId="0" applyNumberFormat="1" applyFont="1" applyFill="1" applyBorder="1" applyAlignment="1">
      <alignment horizontal="right" wrapText="1"/>
    </xf>
    <xf numFmtId="0" fontId="11" fillId="0" borderId="0" xfId="0" applyFont="1" applyFill="1"/>
    <xf numFmtId="165" fontId="0" fillId="0" borderId="0" xfId="3" applyNumberFormat="1" applyFont="1"/>
    <xf numFmtId="7" fontId="0" fillId="5" borderId="0" xfId="0" applyNumberFormat="1" applyFill="1"/>
    <xf numFmtId="0" fontId="8" fillId="8" borderId="0" xfId="0" applyFont="1" applyFill="1"/>
    <xf numFmtId="17" fontId="29" fillId="8" borderId="0" xfId="0" applyNumberFormat="1" applyFont="1" applyFill="1" applyBorder="1" applyAlignment="1">
      <alignment horizontal="right" wrapText="1"/>
    </xf>
    <xf numFmtId="0" fontId="29" fillId="8" borderId="0" xfId="0" applyFont="1" applyFill="1" applyAlignment="1">
      <alignment horizontal="right" vertical="center"/>
    </xf>
    <xf numFmtId="0" fontId="49" fillId="0" borderId="0" xfId="0" applyFont="1"/>
    <xf numFmtId="184" fontId="31" fillId="0" borderId="0" xfId="0" applyNumberFormat="1" applyFont="1" applyAlignment="1">
      <alignment horizontal="left"/>
    </xf>
    <xf numFmtId="164" fontId="0" fillId="0" borderId="0" xfId="1" applyNumberFormat="1" applyFont="1"/>
    <xf numFmtId="0" fontId="0" fillId="0" borderId="0" xfId="0"/>
    <xf numFmtId="0" fontId="25" fillId="0" borderId="0" xfId="0" applyFont="1"/>
    <xf numFmtId="0" fontId="26" fillId="0" borderId="0" xfId="0" applyFont="1"/>
    <xf numFmtId="0" fontId="16" fillId="0" borderId="0" xfId="0" applyFont="1"/>
    <xf numFmtId="0" fontId="1" fillId="0" borderId="0" xfId="0" applyFont="1"/>
    <xf numFmtId="0" fontId="0" fillId="0" borderId="0" xfId="0" applyFont="1" applyFill="1"/>
    <xf numFmtId="0" fontId="38" fillId="0" borderId="0" xfId="0" applyFont="1"/>
    <xf numFmtId="0" fontId="25" fillId="0" borderId="9" xfId="0" applyFont="1" applyBorder="1" applyAlignment="1">
      <alignment vertical="center"/>
    </xf>
    <xf numFmtId="0" fontId="25" fillId="0" borderId="10" xfId="0" applyFont="1" applyBorder="1" applyAlignment="1">
      <alignment vertical="center"/>
    </xf>
    <xf numFmtId="0" fontId="25" fillId="0" borderId="5" xfId="0" applyFont="1" applyBorder="1" applyAlignment="1">
      <alignment vertical="center"/>
    </xf>
    <xf numFmtId="0" fontId="11" fillId="0" borderId="0" xfId="0" applyFont="1"/>
    <xf numFmtId="0" fontId="25" fillId="0" borderId="0" xfId="0" applyFont="1" applyAlignment="1">
      <alignment horizontal="center" vertical="center"/>
    </xf>
    <xf numFmtId="0" fontId="0" fillId="0" borderId="0" xfId="0" applyAlignment="1">
      <alignment vertical="center"/>
    </xf>
    <xf numFmtId="10" fontId="25" fillId="0" borderId="0" xfId="0" applyNumberFormat="1" applyFont="1"/>
    <xf numFmtId="0" fontId="12" fillId="0" borderId="0" xfId="0" applyFont="1"/>
    <xf numFmtId="0" fontId="25" fillId="0" borderId="5" xfId="0" applyFont="1" applyBorder="1"/>
    <xf numFmtId="175" fontId="0" fillId="0" borderId="0" xfId="0" applyNumberFormat="1"/>
    <xf numFmtId="164" fontId="25" fillId="0" borderId="0" xfId="0" applyNumberFormat="1" applyFont="1"/>
    <xf numFmtId="0" fontId="31" fillId="0" borderId="0" xfId="0" applyFont="1"/>
    <xf numFmtId="0" fontId="0" fillId="0" borderId="0" xfId="0" applyAlignment="1">
      <alignment horizontal="left"/>
    </xf>
    <xf numFmtId="0" fontId="29" fillId="8" borderId="0" xfId="0" applyFont="1" applyFill="1" applyAlignment="1">
      <alignment horizontal="right"/>
    </xf>
    <xf numFmtId="0" fontId="25" fillId="0" borderId="1" xfId="0" applyFont="1" applyBorder="1"/>
    <xf numFmtId="165" fontId="25" fillId="0" borderId="0" xfId="0" applyNumberFormat="1" applyFont="1"/>
    <xf numFmtId="0" fontId="29" fillId="8" borderId="0" xfId="0" applyFont="1" applyFill="1" applyAlignment="1">
      <alignment horizontal="center" vertical="center"/>
    </xf>
    <xf numFmtId="0" fontId="39" fillId="0" borderId="0" xfId="0" applyFont="1"/>
    <xf numFmtId="14" fontId="29" fillId="8" borderId="0" xfId="0" applyNumberFormat="1" applyFont="1" applyFill="1" applyAlignment="1">
      <alignment horizontal="right" vertical="center" wrapText="1"/>
    </xf>
    <xf numFmtId="10" fontId="1" fillId="0" borderId="0" xfId="0" applyNumberFormat="1" applyFont="1" applyAlignment="1">
      <alignment vertical="center"/>
    </xf>
    <xf numFmtId="0" fontId="29" fillId="8" borderId="0" xfId="0" applyFont="1" applyFill="1" applyAlignment="1">
      <alignment horizontal="left" vertical="center" wrapText="1"/>
    </xf>
    <xf numFmtId="0" fontId="29" fillId="8" borderId="0" xfId="0" applyFont="1" applyFill="1" applyAlignment="1">
      <alignment horizontal="center" vertical="center" wrapText="1"/>
    </xf>
    <xf numFmtId="0" fontId="29" fillId="8" borderId="0" xfId="0" applyFont="1" applyFill="1" applyAlignment="1">
      <alignment horizontal="right" vertical="center" wrapText="1"/>
    </xf>
    <xf numFmtId="0" fontId="9" fillId="8" borderId="0" xfId="0" applyFont="1" applyFill="1"/>
    <xf numFmtId="0" fontId="8" fillId="8" borderId="0" xfId="0" applyFont="1" applyFill="1" applyAlignment="1">
      <alignment horizontal="center" vertical="center" wrapText="1"/>
    </xf>
    <xf numFmtId="0" fontId="8" fillId="8" borderId="0" xfId="0" applyFont="1" applyFill="1" applyAlignment="1">
      <alignment horizontal="center" wrapText="1"/>
    </xf>
    <xf numFmtId="185" fontId="25" fillId="0" borderId="0" xfId="0" applyNumberFormat="1" applyFont="1"/>
    <xf numFmtId="166" fontId="27" fillId="0" borderId="1" xfId="18" applyNumberFormat="1" applyFont="1" applyFill="1" applyBorder="1" applyAlignment="1">
      <alignment horizontal="right" vertical="center"/>
    </xf>
    <xf numFmtId="166" fontId="31" fillId="0" borderId="1" xfId="18" applyNumberFormat="1" applyFont="1" applyFill="1" applyBorder="1" applyAlignment="1">
      <alignment horizontal="right" vertical="center"/>
    </xf>
    <xf numFmtId="0" fontId="25" fillId="0" borderId="2" xfId="0" applyFont="1" applyBorder="1" applyAlignment="1">
      <alignment horizontal="center" vertical="center"/>
    </xf>
    <xf numFmtId="0" fontId="38"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165" fontId="0" fillId="0" borderId="0" xfId="0" applyNumberFormat="1"/>
    <xf numFmtId="0" fontId="0" fillId="0" borderId="2" xfId="0" applyBorder="1"/>
    <xf numFmtId="173" fontId="25" fillId="0" borderId="0" xfId="0" applyNumberFormat="1" applyFont="1"/>
    <xf numFmtId="173" fontId="0" fillId="0" borderId="0" xfId="0" applyNumberFormat="1"/>
    <xf numFmtId="167" fontId="29" fillId="8" borderId="0" xfId="25" applyNumberFormat="1" applyFont="1" applyFill="1" applyAlignment="1">
      <alignment horizontal="left" vertical="center" indent="1"/>
    </xf>
    <xf numFmtId="178" fontId="23" fillId="0" borderId="0" xfId="25" applyFont="1" applyAlignment="1">
      <alignment horizontal="left" vertical="center"/>
    </xf>
    <xf numFmtId="0" fontId="0" fillId="0" borderId="0" xfId="0" applyFill="1"/>
    <xf numFmtId="166" fontId="31" fillId="0" borderId="0" xfId="18" applyNumberFormat="1" applyFont="1" applyFill="1" applyBorder="1" applyAlignment="1">
      <alignment horizontal="right" vertical="center"/>
    </xf>
    <xf numFmtId="10" fontId="25" fillId="0" borderId="5" xfId="3" applyNumberFormat="1" applyFont="1" applyFill="1" applyBorder="1" applyAlignment="1">
      <alignment vertical="center"/>
    </xf>
    <xf numFmtId="9" fontId="0" fillId="0" borderId="0" xfId="3" applyFont="1"/>
    <xf numFmtId="165" fontId="25" fillId="0" borderId="0" xfId="3" applyNumberFormat="1" applyFont="1" applyBorder="1" applyAlignment="1">
      <alignment horizontal="right"/>
    </xf>
    <xf numFmtId="0" fontId="25" fillId="0" borderId="2" xfId="0" applyNumberFormat="1" applyFont="1" applyBorder="1" applyAlignment="1">
      <alignment horizontal="center"/>
    </xf>
    <xf numFmtId="165" fontId="25" fillId="0" borderId="0" xfId="3" applyNumberFormat="1" applyFont="1" applyFill="1" applyAlignment="1">
      <alignment horizontal="right"/>
    </xf>
    <xf numFmtId="165" fontId="25" fillId="0" borderId="0" xfId="3" applyNumberFormat="1" applyFont="1" applyFill="1" applyBorder="1" applyAlignment="1">
      <alignment horizontal="right"/>
    </xf>
    <xf numFmtId="0" fontId="29" fillId="0" borderId="0" xfId="0" applyFont="1" applyFill="1" applyAlignment="1">
      <alignment horizontal="right"/>
    </xf>
    <xf numFmtId="179" fontId="29" fillId="0" borderId="0" xfId="20" applyNumberFormat="1" applyFont="1" applyFill="1" applyAlignment="1">
      <alignment horizontal="right"/>
    </xf>
    <xf numFmtId="0" fontId="23" fillId="0" borderId="0" xfId="20" applyFont="1" applyFill="1"/>
    <xf numFmtId="179" fontId="29" fillId="0" borderId="0" xfId="20" applyNumberFormat="1" applyFont="1" applyFill="1" applyAlignment="1">
      <alignment horizontal="center"/>
    </xf>
    <xf numFmtId="0" fontId="23" fillId="0" borderId="0" xfId="20" applyFont="1" applyFill="1" applyBorder="1"/>
    <xf numFmtId="3" fontId="23" fillId="0" borderId="0" xfId="20" applyNumberFormat="1" applyFont="1" applyFill="1" applyBorder="1"/>
    <xf numFmtId="177" fontId="23" fillId="0" borderId="0" xfId="20" applyNumberFormat="1" applyFont="1" applyFill="1" applyBorder="1"/>
    <xf numFmtId="10" fontId="25" fillId="0" borderId="0" xfId="3" applyNumberFormat="1" applyFont="1" applyFill="1" applyAlignment="1">
      <alignment horizontal="right"/>
    </xf>
    <xf numFmtId="164" fontId="29" fillId="8" borderId="0" xfId="0" applyNumberFormat="1" applyFont="1" applyFill="1"/>
    <xf numFmtId="0" fontId="25" fillId="0" borderId="0" xfId="0" applyFont="1" applyAlignment="1">
      <alignment horizontal="left"/>
    </xf>
    <xf numFmtId="0" fontId="0" fillId="8" borderId="0" xfId="0" applyFill="1"/>
    <xf numFmtId="164" fontId="23" fillId="0" borderId="0" xfId="1" applyNumberFormat="1" applyFont="1" applyBorder="1" applyAlignment="1">
      <alignment vertical="center"/>
    </xf>
    <xf numFmtId="0" fontId="52" fillId="0" borderId="0" xfId="0" applyFont="1"/>
    <xf numFmtId="0" fontId="53" fillId="0" borderId="0" xfId="0" applyFont="1"/>
    <xf numFmtId="0" fontId="54" fillId="0" borderId="0" xfId="0" applyFont="1"/>
    <xf numFmtId="169" fontId="23" fillId="0" borderId="0" xfId="9" applyNumberFormat="1" applyFont="1" applyFill="1">
      <alignment vertical="center"/>
    </xf>
    <xf numFmtId="14" fontId="29" fillId="8" borderId="0" xfId="0" applyNumberFormat="1" applyFont="1" applyFill="1" applyAlignment="1">
      <alignment horizontal="right"/>
    </xf>
    <xf numFmtId="180" fontId="23" fillId="0" borderId="0" xfId="20" applyNumberFormat="1" applyFont="1" applyFill="1" applyBorder="1"/>
    <xf numFmtId="180" fontId="23" fillId="0" borderId="0" xfId="20" applyNumberFormat="1" applyFont="1" applyBorder="1"/>
    <xf numFmtId="0" fontId="55" fillId="0" borderId="0" xfId="0" applyFont="1"/>
    <xf numFmtId="0" fontId="55" fillId="0" borderId="0" xfId="0" applyFont="1" applyFill="1"/>
    <xf numFmtId="181" fontId="23" fillId="0" borderId="0" xfId="20" applyNumberFormat="1" applyFont="1" applyFill="1"/>
    <xf numFmtId="0" fontId="29" fillId="9" borderId="0" xfId="20" applyFont="1" applyFill="1"/>
    <xf numFmtId="0" fontId="30" fillId="9" borderId="0" xfId="20" applyFont="1" applyFill="1"/>
    <xf numFmtId="10" fontId="25" fillId="0" borderId="0" xfId="3" applyNumberFormat="1" applyFont="1" applyFill="1" applyBorder="1" applyAlignment="1">
      <alignment horizontal="right" vertical="center"/>
    </xf>
    <xf numFmtId="10" fontId="48" fillId="0" borderId="0" xfId="20" applyNumberFormat="1" applyFont="1" applyBorder="1" applyAlignment="1">
      <alignment vertical="center"/>
    </xf>
    <xf numFmtId="181" fontId="25" fillId="0" borderId="5" xfId="0" applyNumberFormat="1" applyFont="1" applyBorder="1"/>
    <xf numFmtId="0" fontId="29" fillId="8" borderId="0" xfId="0" applyFont="1" applyFill="1" applyAlignment="1">
      <alignment horizontal="center" wrapText="1"/>
    </xf>
    <xf numFmtId="14" fontId="8" fillId="8" borderId="0" xfId="0" applyNumberFormat="1" applyFont="1" applyFill="1" applyAlignment="1">
      <alignment horizontal="right"/>
    </xf>
    <xf numFmtId="193" fontId="31" fillId="0" borderId="0" xfId="0" applyNumberFormat="1" applyFont="1" applyAlignment="1">
      <alignment horizontal="left"/>
    </xf>
    <xf numFmtId="181" fontId="25" fillId="0" borderId="0" xfId="20" applyNumberFormat="1" applyFont="1" applyFill="1"/>
    <xf numFmtId="5" fontId="0" fillId="0" borderId="0" xfId="0" applyNumberFormat="1"/>
    <xf numFmtId="186" fontId="0" fillId="0" borderId="0" xfId="0" applyNumberFormat="1" applyFont="1"/>
    <xf numFmtId="0" fontId="0" fillId="0" borderId="5" xfId="0" applyFont="1" applyBorder="1"/>
    <xf numFmtId="10" fontId="0" fillId="0" borderId="0" xfId="3" applyNumberFormat="1" applyFont="1"/>
    <xf numFmtId="10" fontId="0" fillId="0" borderId="5" xfId="3" applyNumberFormat="1" applyFont="1" applyBorder="1"/>
    <xf numFmtId="10" fontId="25" fillId="0" borderId="0" xfId="22" applyNumberFormat="1" applyFont="1" applyFill="1" applyBorder="1" applyAlignment="1">
      <alignment horizontal="left" vertical="center"/>
    </xf>
    <xf numFmtId="10" fontId="25" fillId="0" borderId="0" xfId="22" applyNumberFormat="1" applyFont="1" applyAlignment="1">
      <alignment horizontal="left" vertical="center"/>
    </xf>
    <xf numFmtId="10" fontId="25" fillId="0" borderId="5" xfId="22" applyNumberFormat="1" applyFont="1" applyBorder="1" applyAlignment="1">
      <alignment horizontal="left" vertical="center"/>
    </xf>
    <xf numFmtId="0" fontId="11" fillId="0" borderId="5" xfId="22" applyFont="1" applyFill="1" applyBorder="1" applyAlignment="1">
      <alignment horizontal="left" vertical="center"/>
    </xf>
    <xf numFmtId="165" fontId="23" fillId="0" borderId="0" xfId="20" applyNumberFormat="1" applyFont="1"/>
    <xf numFmtId="165" fontId="23" fillId="0" borderId="5" xfId="20" applyNumberFormat="1" applyFont="1" applyBorder="1"/>
    <xf numFmtId="165" fontId="25" fillId="0" borderId="0" xfId="1" applyNumberFormat="1" applyFont="1"/>
    <xf numFmtId="167" fontId="29" fillId="0" borderId="0" xfId="25" applyNumberFormat="1" applyFont="1" applyFill="1" applyAlignment="1">
      <alignment horizontal="left" vertical="center" indent="1"/>
    </xf>
    <xf numFmtId="0" fontId="29" fillId="8" borderId="0" xfId="0" applyFont="1" applyFill="1" applyAlignment="1">
      <alignment horizontal="left"/>
    </xf>
    <xf numFmtId="2" fontId="0" fillId="0" borderId="0" xfId="0" applyNumberFormat="1"/>
    <xf numFmtId="189" fontId="23" fillId="14" borderId="12" xfId="47" applyNumberFormat="1" applyFont="1" applyFill="1">
      <alignment vertical="center"/>
    </xf>
    <xf numFmtId="181" fontId="23" fillId="14" borderId="12" xfId="47" applyNumberFormat="1" applyFont="1" applyFill="1">
      <alignment vertical="center"/>
    </xf>
    <xf numFmtId="181" fontId="23" fillId="0" borderId="0" xfId="20" applyNumberFormat="1" applyFont="1" applyFill="1" applyBorder="1"/>
    <xf numFmtId="0" fontId="27" fillId="6" borderId="0" xfId="0" applyFont="1" applyFill="1" applyAlignment="1">
      <alignment horizontal="left"/>
    </xf>
    <xf numFmtId="10" fontId="0" fillId="0" borderId="5" xfId="0" applyNumberFormat="1" applyBorder="1"/>
    <xf numFmtId="180" fontId="23" fillId="16" borderId="0" xfId="20" applyNumberFormat="1" applyFont="1" applyFill="1"/>
    <xf numFmtId="181" fontId="23" fillId="16" borderId="0" xfId="20" applyNumberFormat="1" applyFont="1" applyFill="1"/>
    <xf numFmtId="0" fontId="23" fillId="0" borderId="0" xfId="20" applyFont="1" applyBorder="1" applyAlignment="1">
      <alignment horizontal="center"/>
    </xf>
    <xf numFmtId="0" fontId="25" fillId="0" borderId="0" xfId="0" applyNumberFormat="1" applyFont="1" applyFill="1" applyBorder="1" applyAlignment="1">
      <alignment horizontal="center"/>
    </xf>
    <xf numFmtId="0" fontId="31" fillId="0" borderId="0" xfId="0" applyFont="1" applyBorder="1"/>
    <xf numFmtId="0" fontId="25" fillId="0" borderId="0" xfId="0" applyNumberFormat="1" applyFont="1" applyBorder="1" applyAlignment="1">
      <alignment horizontal="center"/>
    </xf>
    <xf numFmtId="194" fontId="25" fillId="0" borderId="0" xfId="0" applyNumberFormat="1" applyFont="1"/>
    <xf numFmtId="189" fontId="23" fillId="14" borderId="25" xfId="47" applyNumberFormat="1" applyFont="1" applyFill="1" applyBorder="1">
      <alignment vertical="center"/>
    </xf>
    <xf numFmtId="181" fontId="25" fillId="5" borderId="2" xfId="0" applyNumberFormat="1" applyFont="1" applyFill="1" applyBorder="1"/>
    <xf numFmtId="9" fontId="25" fillId="0" borderId="0" xfId="3" applyNumberFormat="1" applyFont="1" applyFill="1"/>
    <xf numFmtId="0" fontId="56" fillId="0" borderId="0" xfId="57">
      <alignment vertical="center"/>
    </xf>
    <xf numFmtId="0" fontId="40" fillId="0" borderId="0" xfId="57" applyFont="1" applyAlignment="1"/>
    <xf numFmtId="0" fontId="57" fillId="0" borderId="0" xfId="58" applyAlignment="1">
      <alignment horizontal="left"/>
    </xf>
    <xf numFmtId="0" fontId="58" fillId="0" borderId="0" xfId="59">
      <alignment vertical="center"/>
    </xf>
    <xf numFmtId="0" fontId="59" fillId="0" borderId="0" xfId="60" applyAlignment="1">
      <alignment vertical="center"/>
    </xf>
    <xf numFmtId="0" fontId="7" fillId="0" borderId="0" xfId="57" applyFont="1">
      <alignment vertical="center"/>
    </xf>
    <xf numFmtId="0" fontId="56" fillId="0" borderId="0" xfId="57" applyAlignment="1">
      <alignment horizontal="left" vertical="center" wrapText="1"/>
    </xf>
    <xf numFmtId="0" fontId="60" fillId="17" borderId="0" xfId="61">
      <alignment vertical="center"/>
    </xf>
    <xf numFmtId="187" fontId="56" fillId="0" borderId="0" xfId="57" applyNumberFormat="1">
      <alignment vertical="center"/>
    </xf>
    <xf numFmtId="0" fontId="45" fillId="17" borderId="0" xfId="62">
      <alignment vertical="center"/>
      <protection locked="0"/>
    </xf>
    <xf numFmtId="0" fontId="60" fillId="18" borderId="0" xfId="63">
      <alignment vertical="center"/>
    </xf>
    <xf numFmtId="0" fontId="45" fillId="18" borderId="0" xfId="64">
      <alignment vertical="center"/>
    </xf>
    <xf numFmtId="0" fontId="45" fillId="4" borderId="7" xfId="65">
      <alignment vertical="center"/>
    </xf>
    <xf numFmtId="0" fontId="56" fillId="0" borderId="26" xfId="57" applyBorder="1">
      <alignment vertical="center"/>
    </xf>
    <xf numFmtId="0" fontId="61" fillId="0" borderId="0" xfId="67">
      <alignment vertical="center"/>
    </xf>
    <xf numFmtId="0" fontId="3" fillId="5" borderId="0" xfId="68">
      <alignment vertical="center"/>
    </xf>
    <xf numFmtId="0" fontId="60" fillId="19" borderId="0" xfId="69">
      <alignment vertical="center"/>
    </xf>
    <xf numFmtId="0" fontId="0" fillId="7" borderId="0" xfId="18" applyFont="1">
      <alignment vertical="center"/>
    </xf>
    <xf numFmtId="0" fontId="0" fillId="20" borderId="0" xfId="70" applyFont="1">
      <alignment vertical="center"/>
    </xf>
    <xf numFmtId="0" fontId="62" fillId="0" borderId="0" xfId="71">
      <alignment vertical="center"/>
    </xf>
    <xf numFmtId="0" fontId="0" fillId="0" borderId="0" xfId="72" applyFont="1">
      <alignment vertical="center"/>
    </xf>
    <xf numFmtId="0" fontId="63" fillId="15" borderId="0" xfId="73">
      <alignment vertical="center"/>
    </xf>
    <xf numFmtId="0" fontId="56" fillId="0" borderId="28" xfId="74" applyBorder="1" applyProtection="1">
      <alignment vertical="center"/>
    </xf>
    <xf numFmtId="0" fontId="56" fillId="0" borderId="29" xfId="74" applyBorder="1" applyProtection="1">
      <alignment vertical="center"/>
    </xf>
    <xf numFmtId="187" fontId="64" fillId="0" borderId="0" xfId="75" applyNumberFormat="1">
      <alignment vertical="center"/>
    </xf>
    <xf numFmtId="0" fontId="5" fillId="0" borderId="0" xfId="57" applyFont="1" applyAlignment="1">
      <alignment horizontal="left" vertical="center" wrapText="1"/>
    </xf>
    <xf numFmtId="0" fontId="57" fillId="0" borderId="0" xfId="58">
      <alignment vertical="center"/>
    </xf>
    <xf numFmtId="0" fontId="66" fillId="0" borderId="0" xfId="76">
      <alignment vertical="center"/>
    </xf>
    <xf numFmtId="0" fontId="67" fillId="0" borderId="0" xfId="77">
      <alignment vertical="center"/>
    </xf>
    <xf numFmtId="5" fontId="60" fillId="18" borderId="0" xfId="63" applyNumberFormat="1" applyAlignment="1"/>
    <xf numFmtId="164" fontId="25" fillId="0" borderId="0" xfId="0" applyNumberFormat="1" applyFont="1" applyFill="1" applyAlignment="1">
      <alignment vertical="center"/>
    </xf>
    <xf numFmtId="0" fontId="64" fillId="0" borderId="0" xfId="75" applyAlignment="1"/>
    <xf numFmtId="10" fontId="60" fillId="18" borderId="0" xfId="63" applyNumberFormat="1" applyAlignment="1"/>
    <xf numFmtId="186" fontId="1" fillId="0" borderId="0" xfId="0" applyNumberFormat="1" applyFont="1"/>
    <xf numFmtId="10" fontId="1" fillId="0" borderId="0" xfId="0" applyNumberFormat="1" applyFont="1"/>
    <xf numFmtId="189" fontId="46" fillId="5" borderId="0" xfId="68" applyNumberFormat="1" applyFont="1" applyBorder="1">
      <alignment vertical="center"/>
    </xf>
    <xf numFmtId="3" fontId="62" fillId="0" borderId="0" xfId="71" applyNumberFormat="1" applyAlignment="1">
      <alignment horizontal="right"/>
    </xf>
    <xf numFmtId="179" fontId="62" fillId="0" borderId="0" xfId="71" applyNumberFormat="1" applyAlignment="1">
      <alignment horizontal="right"/>
    </xf>
    <xf numFmtId="180" fontId="62" fillId="0" borderId="0" xfId="71" applyNumberFormat="1" applyAlignment="1">
      <alignment horizontal="right"/>
    </xf>
    <xf numFmtId="179" fontId="62" fillId="0" borderId="0" xfId="71" applyNumberFormat="1" applyAlignment="1"/>
    <xf numFmtId="176" fontId="62" fillId="0" borderId="0" xfId="71" applyNumberFormat="1" applyAlignment="1">
      <alignment horizontal="right"/>
    </xf>
    <xf numFmtId="185" fontId="62" fillId="0" borderId="0" xfId="71" applyNumberFormat="1" applyAlignment="1">
      <alignment horizontal="right"/>
    </xf>
    <xf numFmtId="0" fontId="62" fillId="0" borderId="0" xfId="71" applyAlignment="1">
      <alignment horizontal="right"/>
    </xf>
    <xf numFmtId="181" fontId="60" fillId="18" borderId="0" xfId="63" applyNumberFormat="1" applyAlignment="1"/>
    <xf numFmtId="181" fontId="62" fillId="0" borderId="0" xfId="71" applyNumberFormat="1" applyAlignment="1">
      <alignment horizontal="right"/>
    </xf>
    <xf numFmtId="171" fontId="25" fillId="5" borderId="0" xfId="68" applyNumberFormat="1" applyFont="1" applyAlignment="1"/>
    <xf numFmtId="7" fontId="25" fillId="5" borderId="0" xfId="68" applyNumberFormat="1" applyFont="1" applyAlignment="1">
      <alignment horizontal="right"/>
    </xf>
    <xf numFmtId="182" fontId="25" fillId="5" borderId="0" xfId="68" applyNumberFormat="1" applyFont="1" applyAlignment="1"/>
    <xf numFmtId="7" fontId="25" fillId="5" borderId="0" xfId="68" applyNumberFormat="1" applyFont="1" applyBorder="1" applyAlignment="1"/>
    <xf numFmtId="14" fontId="25" fillId="0" borderId="2" xfId="0" applyNumberFormat="1" applyFont="1" applyBorder="1" applyAlignment="1">
      <alignment horizontal="center" vertical="center" wrapText="1"/>
    </xf>
    <xf numFmtId="0" fontId="19" fillId="0" borderId="0" xfId="9" applyFont="1">
      <alignment vertical="center"/>
    </xf>
    <xf numFmtId="195" fontId="25" fillId="0" borderId="0" xfId="0" applyNumberFormat="1" applyFont="1"/>
    <xf numFmtId="9" fontId="60" fillId="18" borderId="0" xfId="63" applyNumberFormat="1" applyAlignment="1"/>
    <xf numFmtId="9" fontId="25" fillId="0" borderId="0" xfId="0" applyNumberFormat="1" applyFont="1" applyAlignment="1">
      <alignment horizontal="right"/>
    </xf>
    <xf numFmtId="165" fontId="25" fillId="5" borderId="3" xfId="3" applyNumberFormat="1" applyFont="1" applyFill="1" applyBorder="1" applyAlignment="1">
      <alignment horizontal="right"/>
    </xf>
    <xf numFmtId="165" fontId="25" fillId="5" borderId="4" xfId="3" applyNumberFormat="1" applyFont="1" applyFill="1" applyBorder="1" applyAlignment="1">
      <alignment horizontal="right"/>
    </xf>
    <xf numFmtId="164" fontId="25" fillId="0" borderId="2" xfId="1" applyNumberFormat="1" applyFont="1" applyFill="1" applyBorder="1" applyAlignment="1">
      <alignment horizontal="center"/>
    </xf>
    <xf numFmtId="10" fontId="25" fillId="0" borderId="2" xfId="0" applyNumberFormat="1" applyFont="1" applyFill="1" applyBorder="1" applyAlignment="1">
      <alignment horizontal="center"/>
    </xf>
    <xf numFmtId="185" fontId="60" fillId="5" borderId="0" xfId="68" applyNumberFormat="1" applyFont="1" applyAlignment="1"/>
    <xf numFmtId="164" fontId="23" fillId="0" borderId="2" xfId="1" applyNumberFormat="1" applyFont="1" applyFill="1" applyBorder="1" applyAlignment="1">
      <alignment vertical="center"/>
    </xf>
    <xf numFmtId="185" fontId="45" fillId="18" borderId="0" xfId="64" applyNumberFormat="1" applyAlignment="1"/>
    <xf numFmtId="164" fontId="45" fillId="18" borderId="0" xfId="64" applyNumberFormat="1" applyAlignment="1"/>
    <xf numFmtId="169" fontId="45" fillId="18" borderId="0" xfId="64" applyNumberFormat="1" applyAlignment="1">
      <alignment horizontal="right"/>
    </xf>
    <xf numFmtId="10" fontId="45" fillId="18" borderId="0" xfId="64" applyNumberFormat="1" applyAlignment="1"/>
    <xf numFmtId="14" fontId="25" fillId="0" borderId="0" xfId="0" applyNumberFormat="1" applyFont="1"/>
    <xf numFmtId="165" fontId="45" fillId="18" borderId="0" xfId="64" applyNumberFormat="1" applyAlignment="1"/>
    <xf numFmtId="14" fontId="45" fillId="18" borderId="0" xfId="64" applyNumberFormat="1" applyAlignment="1"/>
    <xf numFmtId="14" fontId="25" fillId="0" borderId="2" xfId="0" applyNumberFormat="1" applyFont="1" applyBorder="1" applyAlignment="1">
      <alignment horizontal="left" vertical="center"/>
    </xf>
    <xf numFmtId="9" fontId="45" fillId="18" borderId="0" xfId="64" applyNumberFormat="1" applyAlignment="1"/>
    <xf numFmtId="43" fontId="45" fillId="18" borderId="0" xfId="64" applyNumberFormat="1" applyAlignment="1"/>
    <xf numFmtId="196" fontId="45" fillId="18" borderId="0" xfId="64" applyNumberFormat="1" applyAlignment="1"/>
    <xf numFmtId="10" fontId="60" fillId="18" borderId="0" xfId="63" applyNumberFormat="1" applyAlignment="1">
      <alignment vertical="center"/>
    </xf>
    <xf numFmtId="164" fontId="60" fillId="18" borderId="0" xfId="63" applyNumberFormat="1" applyAlignment="1"/>
    <xf numFmtId="164" fontId="60" fillId="21" borderId="0" xfId="63" applyNumberFormat="1" applyFill="1" applyAlignment="1"/>
    <xf numFmtId="0" fontId="32" fillId="0" borderId="0" xfId="20" applyFont="1"/>
    <xf numFmtId="0" fontId="16" fillId="0" borderId="0" xfId="0" applyFont="1" applyFill="1"/>
    <xf numFmtId="186" fontId="60" fillId="18" borderId="0" xfId="63" applyNumberFormat="1" applyAlignment="1"/>
    <xf numFmtId="167" fontId="8" fillId="8" borderId="0" xfId="25" applyNumberFormat="1" applyFont="1" applyFill="1" applyBorder="1" applyAlignment="1">
      <alignment horizontal="right" vertical="center"/>
    </xf>
    <xf numFmtId="10" fontId="2" fillId="0" borderId="0" xfId="3" applyNumberFormat="1" applyFont="1" applyFill="1" applyAlignment="1">
      <alignment horizontal="right"/>
    </xf>
    <xf numFmtId="2" fontId="56" fillId="6" borderId="0" xfId="3" applyNumberFormat="1" applyFont="1" applyFill="1" applyBorder="1" applyAlignment="1">
      <alignment vertical="center"/>
    </xf>
    <xf numFmtId="0" fontId="2" fillId="0" borderId="0" xfId="0" applyFont="1"/>
    <xf numFmtId="5" fontId="2" fillId="0" borderId="0" xfId="0" applyNumberFormat="1" applyFont="1"/>
    <xf numFmtId="164" fontId="2" fillId="0" borderId="0" xfId="0" applyNumberFormat="1" applyFont="1"/>
    <xf numFmtId="164" fontId="60" fillId="18" borderId="0" xfId="63" applyNumberFormat="1" applyFont="1" applyAlignment="1"/>
    <xf numFmtId="183" fontId="2" fillId="0" borderId="0" xfId="0" applyNumberFormat="1" applyFont="1"/>
    <xf numFmtId="185" fontId="60" fillId="18" borderId="0" xfId="63" applyNumberFormat="1" applyFont="1" applyAlignment="1"/>
    <xf numFmtId="0" fontId="2" fillId="0" borderId="1" xfId="0" applyFont="1" applyBorder="1"/>
    <xf numFmtId="164" fontId="2" fillId="0" borderId="0" xfId="1" applyNumberFormat="1" applyFont="1"/>
    <xf numFmtId="0" fontId="8" fillId="8" borderId="0" xfId="20" applyFont="1" applyFill="1" applyBorder="1" applyAlignment="1">
      <alignment horizontal="center"/>
    </xf>
    <xf numFmtId="10" fontId="2" fillId="0" borderId="0" xfId="0" applyNumberFormat="1" applyFont="1"/>
    <xf numFmtId="186" fontId="2" fillId="2" borderId="0" xfId="0" applyNumberFormat="1" applyFont="1" applyFill="1"/>
    <xf numFmtId="186" fontId="60" fillId="18" borderId="0" xfId="63" applyNumberFormat="1" applyFont="1" applyAlignment="1"/>
    <xf numFmtId="186" fontId="2" fillId="0" borderId="0" xfId="0" applyNumberFormat="1" applyFont="1"/>
    <xf numFmtId="186" fontId="2" fillId="0" borderId="0" xfId="0" applyNumberFormat="1" applyFont="1" applyFill="1"/>
    <xf numFmtId="166" fontId="12" fillId="0" borderId="0" xfId="18" applyNumberFormat="1" applyFont="1" applyFill="1" applyBorder="1" applyAlignment="1">
      <alignment horizontal="right" vertical="center"/>
    </xf>
    <xf numFmtId="185" fontId="45" fillId="5" borderId="0" xfId="68" applyNumberFormat="1" applyFont="1" applyAlignment="1"/>
    <xf numFmtId="185" fontId="25" fillId="0" borderId="5" xfId="0" applyNumberFormat="1" applyFont="1" applyBorder="1"/>
    <xf numFmtId="185" fontId="25" fillId="0" borderId="0" xfId="0" applyNumberFormat="1" applyFont="1" applyFill="1"/>
    <xf numFmtId="185" fontId="25" fillId="0" borderId="5" xfId="0" applyNumberFormat="1" applyFont="1" applyFill="1" applyBorder="1"/>
    <xf numFmtId="180" fontId="29" fillId="8" borderId="0" xfId="20" applyNumberFormat="1" applyFont="1" applyFill="1" applyBorder="1" applyAlignment="1">
      <alignment horizontal="center"/>
    </xf>
    <xf numFmtId="180" fontId="23" fillId="0" borderId="0" xfId="20" applyNumberFormat="1" applyFont="1" applyFill="1"/>
    <xf numFmtId="180" fontId="0" fillId="0" borderId="1" xfId="0" applyNumberFormat="1" applyBorder="1"/>
    <xf numFmtId="0" fontId="22" fillId="0" borderId="0" xfId="20" applyFont="1" applyFill="1"/>
    <xf numFmtId="180" fontId="56" fillId="0" borderId="0" xfId="20" applyNumberFormat="1" applyFont="1" applyFill="1"/>
    <xf numFmtId="7" fontId="25" fillId="5" borderId="0" xfId="68" applyNumberFormat="1" applyFont="1" applyAlignment="1"/>
    <xf numFmtId="165" fontId="0" fillId="5" borderId="0" xfId="3" applyNumberFormat="1" applyFont="1" applyFill="1" applyAlignment="1">
      <alignment horizontal="center"/>
    </xf>
    <xf numFmtId="165" fontId="0" fillId="0" borderId="0" xfId="3" applyNumberFormat="1"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9" fontId="2" fillId="0" borderId="0" xfId="3" applyFont="1"/>
    <xf numFmtId="0" fontId="1" fillId="0" borderId="0" xfId="0" applyFont="1" applyAlignment="1">
      <alignment vertical="center"/>
    </xf>
    <xf numFmtId="0" fontId="8" fillId="8" borderId="0" xfId="0" applyFont="1" applyFill="1" applyAlignment="1">
      <alignment horizontal="right"/>
    </xf>
    <xf numFmtId="0" fontId="62" fillId="0" borderId="0" xfId="71" applyAlignment="1">
      <alignment horizontal="center" vertical="center" wrapText="1"/>
    </xf>
    <xf numFmtId="186" fontId="62" fillId="0" borderId="0" xfId="71" applyNumberFormat="1" applyAlignment="1">
      <alignment horizontal="right"/>
    </xf>
    <xf numFmtId="0" fontId="62" fillId="0" borderId="0" xfId="71" applyAlignment="1"/>
    <xf numFmtId="168" fontId="25" fillId="0" borderId="0" xfId="0" applyNumberFormat="1" applyFont="1" applyBorder="1"/>
    <xf numFmtId="168" fontId="25" fillId="0" borderId="5" xfId="0" applyNumberFormat="1" applyFont="1" applyBorder="1"/>
    <xf numFmtId="168" fontId="62" fillId="0" borderId="0" xfId="71" applyNumberFormat="1" applyAlignment="1">
      <alignment horizontal="right"/>
    </xf>
    <xf numFmtId="168" fontId="0" fillId="0" borderId="0" xfId="0" applyNumberFormat="1"/>
    <xf numFmtId="2" fontId="25" fillId="0" borderId="0" xfId="0" applyNumberFormat="1" applyFont="1"/>
    <xf numFmtId="2" fontId="25" fillId="0" borderId="0" xfId="1" applyNumberFormat="1" applyFont="1"/>
    <xf numFmtId="0" fontId="4" fillId="0" borderId="0" xfId="5" applyAlignment="1"/>
    <xf numFmtId="9" fontId="0" fillId="0" borderId="0" xfId="0" applyNumberFormat="1"/>
    <xf numFmtId="0" fontId="60" fillId="18" borderId="0" xfId="63" applyAlignment="1"/>
    <xf numFmtId="9" fontId="45" fillId="17" borderId="0" xfId="62" applyNumberFormat="1" applyAlignment="1" applyProtection="1"/>
    <xf numFmtId="0" fontId="0" fillId="5" borderId="0" xfId="68" applyFont="1" applyAlignment="1"/>
    <xf numFmtId="10" fontId="0" fillId="5" borderId="0" xfId="68" applyNumberFormat="1" applyFont="1" applyAlignment="1"/>
    <xf numFmtId="0" fontId="0" fillId="5" borderId="5" xfId="68" applyFont="1" applyBorder="1" applyAlignment="1"/>
    <xf numFmtId="43" fontId="45" fillId="17" borderId="0" xfId="1" applyFont="1" applyFill="1" applyAlignment="1" applyProtection="1"/>
    <xf numFmtId="0" fontId="30" fillId="8" borderId="0" xfId="0" applyFont="1" applyFill="1"/>
    <xf numFmtId="197" fontId="25" fillId="0" borderId="2" xfId="0" applyNumberFormat="1" applyFont="1" applyBorder="1" applyAlignment="1">
      <alignment horizontal="center"/>
    </xf>
    <xf numFmtId="186" fontId="2" fillId="5" borderId="0" xfId="68" applyNumberFormat="1" applyFont="1" applyAlignment="1"/>
    <xf numFmtId="7" fontId="25" fillId="2" borderId="0" xfId="0" applyNumberFormat="1" applyFont="1" applyFill="1"/>
    <xf numFmtId="168" fontId="25" fillId="2" borderId="0" xfId="0" applyNumberFormat="1" applyFont="1" applyFill="1"/>
    <xf numFmtId="0" fontId="56" fillId="0" borderId="0" xfId="78">
      <alignment vertical="center"/>
    </xf>
    <xf numFmtId="0" fontId="66" fillId="0" borderId="0" xfId="80" applyFill="1" applyAlignment="1">
      <alignment horizontal="left"/>
    </xf>
    <xf numFmtId="0" fontId="68" fillId="0" borderId="0" xfId="78" applyFont="1">
      <alignment vertical="center"/>
    </xf>
    <xf numFmtId="0" fontId="5" fillId="0" borderId="0" xfId="78" applyFont="1">
      <alignment vertical="center"/>
    </xf>
    <xf numFmtId="0" fontId="59" fillId="0" borderId="0" xfId="81" applyAlignment="1"/>
    <xf numFmtId="0" fontId="59" fillId="0" borderId="0" xfId="81" applyAlignment="1">
      <alignment vertical="center"/>
    </xf>
    <xf numFmtId="0" fontId="67" fillId="0" borderId="0" xfId="82" applyAlignment="1">
      <alignment vertical="center"/>
    </xf>
    <xf numFmtId="0" fontId="66" fillId="0" borderId="0" xfId="80" applyAlignment="1">
      <alignment vertical="center"/>
    </xf>
    <xf numFmtId="0" fontId="57" fillId="0" borderId="0" xfId="79" applyAlignment="1">
      <alignment horizontal="left"/>
    </xf>
    <xf numFmtId="164" fontId="45" fillId="4" borderId="7" xfId="65" applyNumberFormat="1" applyAlignment="1"/>
    <xf numFmtId="0" fontId="0" fillId="0" borderId="0" xfId="0"/>
    <xf numFmtId="185" fontId="45" fillId="4" borderId="7" xfId="65" applyNumberFormat="1">
      <alignment vertical="center"/>
    </xf>
    <xf numFmtId="164" fontId="60" fillId="17" borderId="0" xfId="1" applyNumberFormat="1" applyFont="1" applyFill="1" applyAlignment="1">
      <alignment vertical="center"/>
    </xf>
    <xf numFmtId="10" fontId="45" fillId="4" borderId="7" xfId="3" applyNumberFormat="1" applyFont="1" applyFill="1" applyBorder="1" applyAlignment="1"/>
    <xf numFmtId="164" fontId="60" fillId="18" borderId="0" xfId="63" applyNumberFormat="1" applyAlignment="1">
      <alignment vertical="center"/>
    </xf>
    <xf numFmtId="164" fontId="56" fillId="0" borderId="26" xfId="1" applyNumberFormat="1" applyFont="1" applyBorder="1" applyAlignment="1">
      <alignment vertical="center"/>
    </xf>
    <xf numFmtId="9" fontId="45" fillId="17" borderId="0" xfId="3" applyFont="1" applyFill="1" applyAlignment="1" applyProtection="1">
      <alignment vertical="center"/>
      <protection locked="0"/>
    </xf>
    <xf numFmtId="9" fontId="45" fillId="17" borderId="0" xfId="3" applyFont="1" applyFill="1" applyAlignment="1" applyProtection="1">
      <alignment horizontal="center" vertical="center"/>
      <protection locked="0"/>
    </xf>
    <xf numFmtId="165" fontId="45" fillId="17" borderId="0" xfId="3" applyNumberFormat="1" applyFont="1" applyFill="1" applyAlignment="1" applyProtection="1">
      <alignment horizontal="center" vertical="center"/>
      <protection locked="0"/>
    </xf>
    <xf numFmtId="2" fontId="45" fillId="18" borderId="0" xfId="64" applyNumberFormat="1" applyAlignment="1">
      <alignment horizontal="center"/>
    </xf>
    <xf numFmtId="164" fontId="23" fillId="5" borderId="2" xfId="68" applyNumberFormat="1" applyFont="1" applyBorder="1" applyAlignment="1">
      <alignment vertical="center"/>
    </xf>
    <xf numFmtId="0" fontId="0" fillId="0" borderId="0" xfId="0"/>
    <xf numFmtId="185" fontId="45" fillId="4" borderId="7" xfId="65" applyNumberFormat="1">
      <alignment vertical="center"/>
    </xf>
    <xf numFmtId="0" fontId="18" fillId="0" borderId="0" xfId="0" applyFont="1"/>
    <xf numFmtId="164" fontId="45" fillId="4" borderId="7" xfId="65" applyNumberFormat="1" applyAlignment="1"/>
    <xf numFmtId="0" fontId="45" fillId="17" borderId="0" xfId="62" applyAlignment="1">
      <alignment horizontal="center" vertical="center"/>
      <protection locked="0"/>
    </xf>
    <xf numFmtId="0" fontId="56" fillId="0" borderId="0" xfId="78" applyFont="1" applyAlignment="1">
      <alignment vertical="center" wrapText="1"/>
    </xf>
    <xf numFmtId="0" fontId="58" fillId="0" borderId="0" xfId="59" applyAlignment="1">
      <alignment horizontal="left" vertical="center"/>
    </xf>
  </cellXfs>
  <cellStyles count="735">
    <cellStyle name="%" xfId="87" xr:uid="{B9F1EE83-03D0-4F95-B3C4-461F598BE002}"/>
    <cellStyle name="% 2" xfId="88" xr:uid="{3152F782-2D00-4BE9-8F72-B3080981E901}"/>
    <cellStyle name="%_PEF FSBR2011" xfId="89" xr:uid="{2C5539B7-E4C4-493B-8BA2-73CA6E677ABF}"/>
    <cellStyle name="]_x000d__x000a_Zoomed=1_x000d__x000a_Row=0_x000d__x000a_Column=0_x000d__x000a_Height=0_x000d__x000a_Width=0_x000d__x000a_FontName=FoxFont_x000d__x000a_FontStyle=0_x000d__x000a_FontSize=9_x000d__x000a_PrtFontName=FoxPrin" xfId="90" xr:uid="{BE0C330A-1782-4B9D-8ECB-C15CE06BB9FD}"/>
    <cellStyle name="_TableHead" xfId="91" xr:uid="{452928AF-2869-42BF-97EC-77E27610C545}"/>
    <cellStyle name="1dp" xfId="92" xr:uid="{3F3E736D-5566-404E-AF5F-ECADAEFF7A75}"/>
    <cellStyle name="1dp 2" xfId="93" xr:uid="{11CB5C96-DBF4-4558-AC3B-D7DE2D1DEDBD}"/>
    <cellStyle name="20% - Accent1 2" xfId="94" xr:uid="{0EBBA4C6-F2F3-463C-829A-BCF50C9DB223}"/>
    <cellStyle name="20% - Accent2 2" xfId="95" xr:uid="{77B185D6-DD1C-40D8-B081-81B57D4DA043}"/>
    <cellStyle name="20% - Accent3 2" xfId="96" xr:uid="{9B8C1140-447C-4342-8723-3CDB1614056A}"/>
    <cellStyle name="20% - Accent4 2" xfId="97" xr:uid="{CF43F00B-9C8D-47EE-8EB8-A4E906C30433}"/>
    <cellStyle name="20% - Accent5 2" xfId="98" xr:uid="{BA8C4BC1-46E6-4EBD-83AE-DC4B8112A925}"/>
    <cellStyle name="20% - Accent6 2" xfId="99" xr:uid="{FBB4851E-9ADF-4D6E-9F11-150465E46263}"/>
    <cellStyle name="3dp" xfId="100" xr:uid="{C34EDF85-BF6B-4BA0-AA10-E08523DF55F2}"/>
    <cellStyle name="3dp 2" xfId="101" xr:uid="{64BB5280-757B-4044-B4A6-8EE45DA469AD}"/>
    <cellStyle name="40% - Accent1 2" xfId="102" xr:uid="{F067A687-9185-4FF1-9CE6-D2D7B2988DAA}"/>
    <cellStyle name="40% - Accent2 2" xfId="103" xr:uid="{1B92843E-64EE-4DDE-A7F3-4F9D83CAC413}"/>
    <cellStyle name="40% - Accent3 2" xfId="104" xr:uid="{DE4B8E4B-A5EC-47AD-9C5E-57177686B460}"/>
    <cellStyle name="40% - Accent4 2" xfId="105" xr:uid="{FE3D53E4-596A-4EC6-B1D6-4B675848C02C}"/>
    <cellStyle name="40% - Accent5 2" xfId="106" xr:uid="{AE2B442E-8D69-40AF-9553-CE612DD2062C}"/>
    <cellStyle name="40% - Accent6 2" xfId="107" xr:uid="{2C447E47-3A2C-40E9-A96C-4825CE79DEE3}"/>
    <cellStyle name="4dp" xfId="108" xr:uid="{5C98BA45-F431-4429-BC18-8434424DBE37}"/>
    <cellStyle name="4dp 2" xfId="109" xr:uid="{E04BFA65-1B34-412A-B37F-82F6EBF55BC9}"/>
    <cellStyle name="60% - Accent1 2" xfId="110" xr:uid="{50ECBCF2-BE84-4ABA-8CF3-E906328CC9AA}"/>
    <cellStyle name="60% - Accent2 2" xfId="111" xr:uid="{B55C1E01-B07F-4049-B297-85F5B6616FFE}"/>
    <cellStyle name="60% - Accent3 2" xfId="112" xr:uid="{BBFC3063-060E-4C62-8FF6-F580A83B0C03}"/>
    <cellStyle name="60% - Accent4 2" xfId="113" xr:uid="{7A33DC75-3D02-400C-9B40-FFC0714641F5}"/>
    <cellStyle name="60% - Accent5 2" xfId="114" xr:uid="{72B431E5-E085-4527-8E40-7772CA59DE2F}"/>
    <cellStyle name="60% - Accent6 2" xfId="115" xr:uid="{EDB9AC2A-19AC-4782-9EAE-7315395EA5B4}"/>
    <cellStyle name="Accent1 2" xfId="116" xr:uid="{51AFC8D4-4D76-4BF4-BC54-2C88BC46998A}"/>
    <cellStyle name="Accent2 2" xfId="117" xr:uid="{1DAFBF0A-02DF-4880-A837-7A430B5D0B93}"/>
    <cellStyle name="Accent3 2" xfId="118" xr:uid="{AB10C6E2-9607-433F-AD98-0F92188DE7D4}"/>
    <cellStyle name="Accent4 2" xfId="119" xr:uid="{5265CFEC-2B8E-4AF9-A840-DB5332DB20FC}"/>
    <cellStyle name="Accent5 2" xfId="120" xr:uid="{B31C5F3D-0132-472B-B7C9-7DFA48C2CBCA}"/>
    <cellStyle name="Accent6 2" xfId="121" xr:uid="{96EA2577-99BE-49BB-B180-70804882E4AF}"/>
    <cellStyle name="Bad 2" xfId="122" xr:uid="{85D5FC1D-B215-4D08-873C-77A4213A6F79}"/>
    <cellStyle name="Bid £m format" xfId="123" xr:uid="{6327B0CD-80FA-4EC7-8B40-2560479A1ED2}"/>
    <cellStyle name="Blank input" xfId="42" xr:uid="{0A3E76C2-510A-46E4-BD37-4602C55453A4}"/>
    <cellStyle name="Calculation 2" xfId="124" xr:uid="{795E27F7-4A3B-4F4F-8AF0-7BD040091DA9}"/>
    <cellStyle name="Calculation 2 2" xfId="432" xr:uid="{BA8CBB4E-B8B1-4D57-A24F-7C8A0AF51F98}"/>
    <cellStyle name="Calculation 2 3" xfId="537" xr:uid="{869803C4-D305-48D6-9986-DEC2D0F59AE0}"/>
    <cellStyle name="Calculation 2 4" xfId="700" xr:uid="{D4FE44AE-CFF5-474B-B416-752811B3D486}"/>
    <cellStyle name="Check Cell 2" xfId="125" xr:uid="{BAC73D28-A786-420D-A53B-0F94783215B4}"/>
    <cellStyle name="Check fail" xfId="73" xr:uid="{57F6A364-EF5B-4684-B500-29ACD8EC8461}"/>
    <cellStyle name="Check pass" xfId="71" xr:uid="{3E39B507-92C0-452F-9562-4D1CEAE5334D}"/>
    <cellStyle name="Checksum" xfId="16" xr:uid="{83242FC6-0BD6-4AD3-BC9D-DC1CF327FC2C}"/>
    <cellStyle name="CIL" xfId="126" xr:uid="{149113EB-2A89-4DE1-863E-813C5A3374BA}"/>
    <cellStyle name="CIU" xfId="127" xr:uid="{A9BE488E-E06F-4C22-8F1B-46829EC0FDA8}"/>
    <cellStyle name="Comma" xfId="1" builtinId="3"/>
    <cellStyle name="Comma 10" xfId="723" xr:uid="{9CDBECDA-9B6F-4E85-AD3D-93280DEF300A}"/>
    <cellStyle name="Comma 10 2 5" xfId="23" xr:uid="{7A2EC367-7A8E-454C-8189-2A440651FA5F}"/>
    <cellStyle name="Comma 10 2 5 2" xfId="54" xr:uid="{956812B1-8726-4EC3-BA6D-1A7E704FD99B}"/>
    <cellStyle name="Comma 10 2 5 2 2" xfId="431" xr:uid="{EC03E3EA-8AA4-40FA-8F3F-68B904262879}"/>
    <cellStyle name="Comma 10 2 5 3" xfId="85" xr:uid="{3F8DDA32-DE7B-484A-BFF2-33CE1D195CD6}"/>
    <cellStyle name="Comma 11" xfId="733" xr:uid="{0B557530-77BD-45E6-BBE0-DA2BC2E047AB}"/>
    <cellStyle name="Comma 12" xfId="83" xr:uid="{DA981C93-DF2D-4802-BDC6-A2BD84827308}"/>
    <cellStyle name="Comma 2" xfId="17" xr:uid="{2542B072-4D0B-4BC5-9C28-BD17CA3A10DE}"/>
    <cellStyle name="Comma 2 10" xfId="84" xr:uid="{7D1A26BF-12AD-46A6-A909-B88363934377}"/>
    <cellStyle name="Comma 2 2" xfId="53" xr:uid="{7BE5E23C-5688-48B9-88C2-9E272D0C1431}"/>
    <cellStyle name="Comma 2 2 2" xfId="410" xr:uid="{BFC2B925-781E-4388-BA5E-50FB97E6B021}"/>
    <cellStyle name="Comma 2 2 2 2" xfId="522" xr:uid="{9DCC134D-65EB-4BB3-A302-2FC27607EF19}"/>
    <cellStyle name="Comma 2 2 2 3" xfId="618" xr:uid="{B61F3C0A-1B7C-4332-B707-57505909333F}"/>
    <cellStyle name="Comma 2 2 2 4" xfId="708" xr:uid="{2CF42CE3-1CF4-41AB-BBEF-9FAC93F8646C}"/>
    <cellStyle name="Comma 2 2 3" xfId="434" xr:uid="{8DCF9896-9744-4A44-9C72-03D4DDA570FB}"/>
    <cellStyle name="Comma 2 2 4" xfId="539" xr:uid="{7DC1F183-35B2-4FB6-B11B-99DCD71A61CA}"/>
    <cellStyle name="Comma 2 2 5" xfId="635" xr:uid="{48301AA0-946B-493E-84CC-25A296DEE20B}"/>
    <cellStyle name="Comma 2 2 6" xfId="129" xr:uid="{EBD772E3-C88C-48AF-BF2D-5675B15CEE8D}"/>
    <cellStyle name="Comma 2 3" xfId="396" xr:uid="{F470C9D3-6BDC-4E95-895C-D7BF5AF60761}"/>
    <cellStyle name="Comma 2 3 2" xfId="421" xr:uid="{26E3FA9E-6E53-481F-9607-0C07DB2FE3F5}"/>
    <cellStyle name="Comma 2 3 2 2" xfId="532" xr:uid="{543CD7C9-56BF-4558-AECE-06F97F532895}"/>
    <cellStyle name="Comma 2 3 2 3" xfId="628" xr:uid="{41AFF779-F336-47E5-B696-F7843BE9CF74}"/>
    <cellStyle name="Comma 2 3 2 4" xfId="718" xr:uid="{E6D6D4BC-F192-4A10-BB4E-A6DF8CB98E66}"/>
    <cellStyle name="Comma 2 3 3" xfId="511" xr:uid="{DF07D220-27E6-411F-A5B4-4117C0AC6AF0}"/>
    <cellStyle name="Comma 2 3 4" xfId="612" xr:uid="{C16966CC-FDB9-4C39-884A-0D55D981880D}"/>
    <cellStyle name="Comma 2 3 5" xfId="702" xr:uid="{9CCDADC5-9F3E-470D-8489-8ADCA6CFE950}"/>
    <cellStyle name="Comma 2 4" xfId="128" xr:uid="{CFA7F345-D446-4C20-B6F4-38C044F42088}"/>
    <cellStyle name="Comma 2 4 2" xfId="433" xr:uid="{C3EE3BCC-87B6-4F21-9ADC-D1387F61F0EF}"/>
    <cellStyle name="Comma 2 4 3" xfId="617" xr:uid="{75475274-7171-458A-BED4-1E5E27FA08BD}"/>
    <cellStyle name="Comma 2 4 4" xfId="707" xr:uid="{989321CB-5491-43C8-8177-7458AF40EB32}"/>
    <cellStyle name="Comma 2 5" xfId="401" xr:uid="{FCC4CB0F-D5D2-40EA-8FA0-5F7FB455CD58}"/>
    <cellStyle name="Comma 2 6" xfId="409" xr:uid="{58BA8EF9-9276-4C47-9AC5-9D54E7165550}"/>
    <cellStyle name="Comma 2 6 2" xfId="521" xr:uid="{490B821B-6B77-4BA9-B7B9-59B0573CC5DA}"/>
    <cellStyle name="Comma 2 7" xfId="430" xr:uid="{325891AA-93F3-4D00-A529-D282D951A631}"/>
    <cellStyle name="Comma 2 8" xfId="538" xr:uid="{48C43774-DDDD-42FC-8CDD-36F83B1E3FBB}"/>
    <cellStyle name="Comma 2 9" xfId="634" xr:uid="{7A592723-863A-4A28-BF2C-C902AE3ADC3B}"/>
    <cellStyle name="Comma 3" xfId="51" xr:uid="{0D84D34C-4D5B-4470-B3EC-6D64AE53768F}"/>
    <cellStyle name="Comma 3 2" xfId="131" xr:uid="{D447ED4D-6D64-4A63-849C-1031C7FFD9ED}"/>
    <cellStyle name="Comma 3 2 2" xfId="132" xr:uid="{F7E0C311-6DB7-49EF-B37C-4F7A9649F42B}"/>
    <cellStyle name="Comma 3 2 2 2" xfId="413" xr:uid="{AE2108CD-B33C-481D-B348-87C522884CFC}"/>
    <cellStyle name="Comma 3 2 2 2 2" xfId="525" xr:uid="{CD3123A6-142E-4A1F-BF40-4EF23670397A}"/>
    <cellStyle name="Comma 3 2 2 2 3" xfId="621" xr:uid="{E046294B-CDA9-493D-8336-43DD194F3171}"/>
    <cellStyle name="Comma 3 2 2 2 4" xfId="711" xr:uid="{F8277344-37AE-4F75-BCCC-E0A5A6E42596}"/>
    <cellStyle name="Comma 3 2 2 3" xfId="437" xr:uid="{9D3864C7-EE6D-445F-B2D8-7E144A01FB8A}"/>
    <cellStyle name="Comma 3 2 2 4" xfId="542" xr:uid="{57E200DA-3592-4E25-9DD7-E71CA626EF31}"/>
    <cellStyle name="Comma 3 2 2 5" xfId="638" xr:uid="{329DF48C-8231-4031-AE04-2BAB20FCCA1E}"/>
    <cellStyle name="Comma 3 2 3" xfId="398" xr:uid="{603BC8BB-7BAF-4888-9ED1-F6C3F0664BAE}"/>
    <cellStyle name="Comma 3 2 3 2" xfId="423" xr:uid="{AFB5D285-7349-40E5-9A9F-2AA3289B20C8}"/>
    <cellStyle name="Comma 3 2 3 2 2" xfId="534" xr:uid="{E624E1DB-7129-4A42-8C4A-7E657226C9C4}"/>
    <cellStyle name="Comma 3 2 3 2 3" xfId="630" xr:uid="{F2AF5C08-5880-43C2-84B1-328DD600A854}"/>
    <cellStyle name="Comma 3 2 3 2 4" xfId="720" xr:uid="{523FC1AC-EBA6-4222-BC2B-96B0C6BD57F5}"/>
    <cellStyle name="Comma 3 2 3 3" xfId="513" xr:uid="{8B9ADA27-5EF9-4474-80EE-58DF262EBD15}"/>
    <cellStyle name="Comma 3 2 3 4" xfId="614" xr:uid="{8D7B11DC-7C2F-47B3-A874-235F2DCF9025}"/>
    <cellStyle name="Comma 3 2 3 5" xfId="704" xr:uid="{A62D9964-89DA-4CD5-9DB8-4D6E63A2276E}"/>
    <cellStyle name="Comma 3 2 4" xfId="412" xr:uid="{5054BC34-CD40-477B-B0C7-7613AD1DD166}"/>
    <cellStyle name="Comma 3 2 4 2" xfId="524" xr:uid="{F896FA0F-07CE-4C09-B811-6D48C2D1766F}"/>
    <cellStyle name="Comma 3 2 4 3" xfId="620" xr:uid="{21CF3A21-F62C-440B-BDE4-D112BC7E6175}"/>
    <cellStyle name="Comma 3 2 4 4" xfId="710" xr:uid="{6A5EC1AF-7DD3-42B9-91DC-66260CEBEA93}"/>
    <cellStyle name="Comma 3 2 5" xfId="436" xr:uid="{E7801551-A0EB-4EB9-B730-FFB25EC30323}"/>
    <cellStyle name="Comma 3 2 6" xfId="541" xr:uid="{7EC581AF-8D01-46D6-BFD7-CC47C4E9B34D}"/>
    <cellStyle name="Comma 3 2 7" xfId="637" xr:uid="{85BA69FF-D115-40CC-B7A8-2FFEB72F1173}"/>
    <cellStyle name="Comma 3 3" xfId="133" xr:uid="{D013FBF0-F11A-4B51-B665-DC9C35A50033}"/>
    <cellStyle name="Comma 3 3 2" xfId="414" xr:uid="{2430FF4C-1A46-4185-905C-B43EF67423B7}"/>
    <cellStyle name="Comma 3 3 2 2" xfId="526" xr:uid="{A7D90C85-E804-499C-B1D6-C575D53F7154}"/>
    <cellStyle name="Comma 3 3 2 3" xfId="622" xr:uid="{C219A335-1A54-41D7-B67F-CC3F6DFC97BB}"/>
    <cellStyle name="Comma 3 3 2 4" xfId="712" xr:uid="{3712E573-C0D6-4807-B105-F8055FC02E03}"/>
    <cellStyle name="Comma 3 3 3" xfId="438" xr:uid="{F92B3B9E-2A91-489E-8F27-0D69038C4008}"/>
    <cellStyle name="Comma 3 3 4" xfId="543" xr:uid="{90C2A7DB-2EA2-4C8E-BCDB-BAEE1DFDF0D9}"/>
    <cellStyle name="Comma 3 3 5" xfId="639" xr:uid="{FBAACA83-C07A-4D78-A22C-15942BDA2EA2}"/>
    <cellStyle name="Comma 3 4" xfId="397" xr:uid="{B2619DF5-5AF5-4DA2-B838-753ADE8EED48}"/>
    <cellStyle name="Comma 3 4 2" xfId="422" xr:uid="{1B29EA52-2435-4B0E-9E4E-BEDAFCA1F833}"/>
    <cellStyle name="Comma 3 4 2 2" xfId="533" xr:uid="{CCA62124-4440-4333-A7E5-7F66E8C19C46}"/>
    <cellStyle name="Comma 3 4 2 3" xfId="629" xr:uid="{B5E274A6-6929-4FA2-BCE5-FD2B0FCCCD9C}"/>
    <cellStyle name="Comma 3 4 2 4" xfId="719" xr:uid="{D827F81E-8504-4BB6-B342-59BC55E7B702}"/>
    <cellStyle name="Comma 3 4 3" xfId="512" xr:uid="{DF80B085-6740-42A0-938C-C22122A0DF1D}"/>
    <cellStyle name="Comma 3 4 4" xfId="613" xr:uid="{F2C16339-F779-4974-8325-BFAAC669D103}"/>
    <cellStyle name="Comma 3 4 5" xfId="703" xr:uid="{71E01A9F-0430-4849-92A0-6271AF86684C}"/>
    <cellStyle name="Comma 3 5" xfId="411" xr:uid="{B1A6880C-9716-4FE6-991E-C302C21894F4}"/>
    <cellStyle name="Comma 3 5 2" xfId="523" xr:uid="{D9A80C94-7DFD-4A7C-8769-612CCADC11C1}"/>
    <cellStyle name="Comma 3 5 3" xfId="619" xr:uid="{CC8A0F3B-C5D6-4CD8-876A-E56A5AC200CE}"/>
    <cellStyle name="Comma 3 5 4" xfId="709" xr:uid="{20A0438B-03A9-4B48-9E7A-0337254E57CE}"/>
    <cellStyle name="Comma 3 6" xfId="435" xr:uid="{3CBB1659-E865-400F-9658-C498B59284D8}"/>
    <cellStyle name="Comma 3 7" xfId="540" xr:uid="{6313B819-5AF6-4D20-9587-181A377F2240}"/>
    <cellStyle name="Comma 3 8" xfId="636" xr:uid="{7F09D7AF-FD02-42BF-B22F-459C9BFAAFB8}"/>
    <cellStyle name="Comma 3 9" xfId="130" xr:uid="{8FDCD7A0-58CE-4240-B3C3-2FB815167858}"/>
    <cellStyle name="Comma 4" xfId="52" xr:uid="{A09FC177-95D3-4CB4-B369-09136F29A6C0}"/>
    <cellStyle name="Comma 4 2" xfId="135" xr:uid="{D51D151F-1B7D-4377-B541-1763904C0A82}"/>
    <cellStyle name="Comma 4 2 2" xfId="416" xr:uid="{2073D724-49E9-49DF-90A2-15CA27580D96}"/>
    <cellStyle name="Comma 4 2 2 2" xfId="528" xr:uid="{3434D528-8E7F-4E76-BA15-25C27B2F9065}"/>
    <cellStyle name="Comma 4 2 2 3" xfId="624" xr:uid="{8EF48C3D-9142-4B5E-B8CB-43C23B9FD9B3}"/>
    <cellStyle name="Comma 4 2 2 4" xfId="714" xr:uid="{E68180F1-2317-432D-B744-8287E58D394A}"/>
    <cellStyle name="Comma 4 2 3" xfId="440" xr:uid="{911F96B2-289E-43C1-A27B-E2E38D266B92}"/>
    <cellStyle name="Comma 4 2 4" xfId="545" xr:uid="{7CEDD1FE-2CB8-43C5-B16E-D8B76BAB4B37}"/>
    <cellStyle name="Comma 4 2 5" xfId="641" xr:uid="{FD2CA748-6224-43D8-B813-187DF7795BE1}"/>
    <cellStyle name="Comma 4 3" xfId="399" xr:uid="{B6BC5024-B261-490E-A00C-C0FDA706AFBE}"/>
    <cellStyle name="Comma 4 3 2" xfId="424" xr:uid="{694E7200-2BFA-48AA-A16B-FECE855B79B4}"/>
    <cellStyle name="Comma 4 3 2 2" xfId="535" xr:uid="{289DF9B7-E426-4F28-8479-2FFB77CCBB3B}"/>
    <cellStyle name="Comma 4 3 2 3" xfId="631" xr:uid="{2913CEA8-CBD5-47E1-A59D-D2AEB1787A1F}"/>
    <cellStyle name="Comma 4 3 2 4" xfId="721" xr:uid="{263B903B-CED5-4CFB-BE06-9903D5F42217}"/>
    <cellStyle name="Comma 4 3 3" xfId="514" xr:uid="{B3DB95D5-E178-49AC-B5DE-0050DF500524}"/>
    <cellStyle name="Comma 4 3 4" xfId="615" xr:uid="{04352DC3-F640-413F-91CA-B810996739AB}"/>
    <cellStyle name="Comma 4 3 5" xfId="705" xr:uid="{795B4189-6115-49F1-8054-37799781F9AB}"/>
    <cellStyle name="Comma 4 4" xfId="415" xr:uid="{7E0DE6FD-1728-468D-B137-6D10F2D8F29E}"/>
    <cellStyle name="Comma 4 4 2" xfId="527" xr:uid="{A843B3EC-2B85-4E73-BC40-A6BD886BF9C8}"/>
    <cellStyle name="Comma 4 4 3" xfId="623" xr:uid="{26E4CE97-D54A-432E-B3CE-FD9E3632C447}"/>
    <cellStyle name="Comma 4 4 4" xfId="713" xr:uid="{86CAF4C6-6A68-4FE7-92D2-45760763866F}"/>
    <cellStyle name="Comma 4 5" xfId="439" xr:uid="{FB30BCF6-A679-4FA2-8214-D156F77CF309}"/>
    <cellStyle name="Comma 4 6" xfId="544" xr:uid="{A413B7C3-C76F-4303-B052-A7C598F091C1}"/>
    <cellStyle name="Comma 4 7" xfId="640" xr:uid="{177A8A13-203D-40A8-9C80-1DF58D5A607A}"/>
    <cellStyle name="Comma 4 8" xfId="134" xr:uid="{12DA38D8-BE78-4552-B7B0-FACACD5738BD}"/>
    <cellStyle name="Comma 5" xfId="136" xr:uid="{F65BA846-90CF-46FD-A3D6-BCF22620DE06}"/>
    <cellStyle name="Comma 5 2" xfId="417" xr:uid="{0F4EBB20-B1C8-473E-BC8A-8541F869DDD4}"/>
    <cellStyle name="Comma 5 2 2" xfId="529" xr:uid="{E99A00A1-A568-4836-B158-6EA0716A3AE7}"/>
    <cellStyle name="Comma 5 2 3" xfId="625" xr:uid="{59A420B0-8ADD-4028-8B71-393E3DD1477A}"/>
    <cellStyle name="Comma 5 2 4" xfId="715" xr:uid="{7CB0DCEA-85BD-487F-BAD6-B56390F4CB26}"/>
    <cellStyle name="Comma 5 3" xfId="441" xr:uid="{38D9343E-312B-43C0-9445-CE55B2C95912}"/>
    <cellStyle name="Comma 5 4" xfId="546" xr:uid="{5421D1BE-B33F-4463-9712-63E73F36685A}"/>
    <cellStyle name="Comma 5 5" xfId="642" xr:uid="{23B7060E-FA39-4EBC-B9C5-5B9705243F1C}"/>
    <cellStyle name="Comma 6" xfId="404" xr:uid="{A13A530E-A770-45C5-9325-96B5CC9C5BA4}"/>
    <cellStyle name="Comma 6 2" xfId="516" xr:uid="{710B30C8-0F0C-45CB-9A77-BE9617987084}"/>
    <cellStyle name="Comma 7" xfId="408" xr:uid="{A97E4DF2-A3B7-4607-A32B-DF256C514CF3}"/>
    <cellStyle name="Comma 7 2" xfId="520" xr:uid="{33AB1A6F-9C2B-4B90-BD6B-61E83050F2CA}"/>
    <cellStyle name="Comma 8" xfId="429" xr:uid="{A77A1F65-AACE-41B2-AD6B-E780A7B46C93}"/>
    <cellStyle name="Comma 9" xfId="633" xr:uid="{8B584219-EDC4-4814-B5D6-820D7C1BBC91}"/>
    <cellStyle name="Confidential" xfId="65" xr:uid="{E0B6EFBB-D043-437E-956C-D8460FEA3AA0}"/>
    <cellStyle name="Currency 2" xfId="137" xr:uid="{AA506527-552F-4FA5-9885-9337455D14CE}"/>
    <cellStyle name="Currency 2 2" xfId="138" xr:uid="{A21CA14E-3A62-478A-82C2-EBF4571017BB}"/>
    <cellStyle name="Currency 2 2 2" xfId="419" xr:uid="{5DBEA66D-9468-4B78-9AF0-7388C6FB2CD8}"/>
    <cellStyle name="Currency 2 2 2 2" xfId="531" xr:uid="{D7F89B5F-C646-4C66-8949-BF1D746CA0B5}"/>
    <cellStyle name="Currency 2 2 2 3" xfId="627" xr:uid="{41BA657F-8F6E-4A62-B2AD-5D3806EAA10D}"/>
    <cellStyle name="Currency 2 2 2 4" xfId="717" xr:uid="{3F31CEB2-71D7-441A-B813-0E0327BD4AF7}"/>
    <cellStyle name="Currency 2 2 3" xfId="443" xr:uid="{3BBC1739-2DE2-4B1C-A1A2-0F30A78DB4D5}"/>
    <cellStyle name="Currency 2 2 4" xfId="548" xr:uid="{787B2D2C-49EF-4A87-BD55-752C152E1E3A}"/>
    <cellStyle name="Currency 2 2 5" xfId="644" xr:uid="{8C788991-DE76-4EAC-8D74-05EB014AF2A5}"/>
    <cellStyle name="Currency 2 3" xfId="400" xr:uid="{6F41110F-04C9-4FA1-AAC5-AC8F15E3EDB5}"/>
    <cellStyle name="Currency 2 3 2" xfId="425" xr:uid="{6E0C849E-A16B-4F1D-A6A3-717CE4DB22C4}"/>
    <cellStyle name="Currency 2 3 2 2" xfId="536" xr:uid="{EACACE4B-5929-46A3-B73F-80BD13CB52DE}"/>
    <cellStyle name="Currency 2 3 2 3" xfId="632" xr:uid="{66CF7A9B-FD08-4EF1-9986-A95E015229FF}"/>
    <cellStyle name="Currency 2 3 2 4" xfId="722" xr:uid="{3AF19E19-9A81-478E-8CF9-9FD4B6E0E7E1}"/>
    <cellStyle name="Currency 2 3 3" xfId="515" xr:uid="{D4C40091-CF94-4C2E-8291-680C95B80F23}"/>
    <cellStyle name="Currency 2 3 4" xfId="616" xr:uid="{ACDA5514-D6EB-4D02-9CA0-F1B24F08E5E5}"/>
    <cellStyle name="Currency 2 3 5" xfId="706" xr:uid="{F7676CC3-9859-4F3A-AEB2-6C7C4530ECD9}"/>
    <cellStyle name="Currency 2 4" xfId="418" xr:uid="{A79C57F0-6447-4620-A08D-A195001067B2}"/>
    <cellStyle name="Currency 2 4 2" xfId="530" xr:uid="{5AA892D1-622C-439B-8742-9F0737906ECE}"/>
    <cellStyle name="Currency 2 4 3" xfId="626" xr:uid="{C157A7C4-599F-4A13-8677-A5CDB2F8C67D}"/>
    <cellStyle name="Currency 2 4 4" xfId="716" xr:uid="{CC40A017-16BC-4EFB-BCD0-6E3A039AEDB0}"/>
    <cellStyle name="Currency 2 5" xfId="442" xr:uid="{89994ED0-D871-4B30-8AB5-6A915A4BE54D}"/>
    <cellStyle name="Currency 2 6" xfId="547" xr:uid="{C3A32151-827C-42FE-82D3-051B68381416}"/>
    <cellStyle name="Currency 2 7" xfId="643" xr:uid="{A2FDCC23-1BF8-459F-8178-F92E7030310C}"/>
    <cellStyle name="Data label" xfId="39" xr:uid="{FCB7E03C-E817-4454-BCC6-BC16A07A574B}"/>
    <cellStyle name="Description" xfId="139" xr:uid="{3C05A606-37CE-4313-A7C4-E8BF827B5B6A}"/>
    <cellStyle name="Euro" xfId="140" xr:uid="{E9892792-68AE-409F-A2B7-5ECCFCF0CF19}"/>
    <cellStyle name="Explanatory Text 2" xfId="141" xr:uid="{9D5252AD-AFDA-477E-8701-658E161D1412}"/>
    <cellStyle name="External link" xfId="38" xr:uid="{9E50B21F-2AC5-433C-B342-816863E47695}"/>
    <cellStyle name="Feed external" xfId="64" xr:uid="{83966C40-AC64-4944-B76F-F0788C89BCBC}"/>
    <cellStyle name="Feed internal" xfId="63" xr:uid="{6F7BBDA9-ADAE-4CF7-9523-3B054E414F04}"/>
    <cellStyle name="Flash" xfId="142" xr:uid="{00657B99-6A1D-47D9-A8E3-2B40B045294C}"/>
    <cellStyle name="footnote ref" xfId="143" xr:uid="{F32B5714-BBAB-4D27-B789-ADFC7CE83411}"/>
    <cellStyle name="footnote text" xfId="144" xr:uid="{093AB118-5AB9-48C6-8A1B-A9F8EA75F0C6}"/>
    <cellStyle name="General" xfId="145" xr:uid="{794EB53E-CFA5-4B75-8BC3-ABE2581C23CB}"/>
    <cellStyle name="General 2" xfId="146" xr:uid="{69A2A9B3-9D0B-46A4-A7D7-90330ACC009A}"/>
    <cellStyle name="Good 2" xfId="147" xr:uid="{5CDD1A36-BDBD-42C0-BA2B-BB9A5D605176}"/>
    <cellStyle name="Grey" xfId="148" xr:uid="{777C4BBF-0017-46A4-A066-6E82D74A1870}"/>
    <cellStyle name="H1" xfId="5" xr:uid="{EF95FB66-59AB-4A28-990E-283559175357}"/>
    <cellStyle name="H1 2" xfId="58" xr:uid="{B30F4BB1-2F54-4677-8978-E0DAFBA103C3}"/>
    <cellStyle name="H1 3" xfId="79" xr:uid="{423EB0C6-3C9C-4C09-95AA-3AFDE398564D}"/>
    <cellStyle name="H2" xfId="6" xr:uid="{F8A2996E-0503-43A5-A6EE-010565AE44C7}"/>
    <cellStyle name="H2 2" xfId="76" xr:uid="{C9DD2A5C-EFEE-4E3F-828D-1D31BA15B15F}"/>
    <cellStyle name="H2 3" xfId="80" xr:uid="{37379211-74AB-42D2-9802-AF8A91528329}"/>
    <cellStyle name="H3" xfId="7" xr:uid="{21EF7D56-C15F-4BDB-B351-2B1F1376706E}"/>
    <cellStyle name="H3 2" xfId="60" xr:uid="{840CD116-1AE8-41A9-A9D9-A7A8CCD4F5CB}"/>
    <cellStyle name="H3 3" xfId="81" xr:uid="{9155FF89-B866-46B3-9DFE-EE6E1021D1F3}"/>
    <cellStyle name="H4" xfId="4" xr:uid="{F032F2AE-DFBE-41F7-B917-30E0D1A917F4}"/>
    <cellStyle name="H4 2" xfId="77" xr:uid="{AB0F1898-5A66-4F9A-B949-34FE6FFB2CED}"/>
    <cellStyle name="H4 3" xfId="82" xr:uid="{9CC21E1B-2D5F-46E5-A561-8957569B12AD}"/>
    <cellStyle name="HeaderLabel" xfId="149" xr:uid="{2B099F88-6C03-4314-885E-9EBEC9D713D9}"/>
    <cellStyle name="HeaderText" xfId="150" xr:uid="{95BFEBA1-0A43-44C0-B863-4578AED9A931}"/>
    <cellStyle name="Heading 1 2" xfId="34" xr:uid="{55BEBE9B-237D-4946-BCD7-C4C65BDA862F}"/>
    <cellStyle name="Heading 1 2 2" xfId="152" xr:uid="{9435211B-2008-436B-8B73-6232F7649732}"/>
    <cellStyle name="Heading 1 2 3" xfId="151" xr:uid="{B55028DB-8816-41F8-9E57-459C43F63DFA}"/>
    <cellStyle name="Heading 1 2_asset sales" xfId="153" xr:uid="{D4B421DD-0B09-4AF8-B7C9-A0B2B654830E}"/>
    <cellStyle name="Heading 1 3" xfId="154" xr:uid="{0B3D1BBA-801B-4892-A83F-51954788D923}"/>
    <cellStyle name="Heading 1 4" xfId="155" xr:uid="{9C5C04DF-22D4-4A24-8420-CCEDBDD72B8B}"/>
    <cellStyle name="Heading 2 2" xfId="156" xr:uid="{5C974BE1-878C-4BBD-853B-6C49354A6DCB}"/>
    <cellStyle name="Heading 2 3" xfId="157" xr:uid="{C2807CCE-807E-47DF-8F15-1535FFD13556}"/>
    <cellStyle name="Heading 3 2" xfId="158" xr:uid="{0A5048FD-E195-4CF6-98B8-625AA9AE5443}"/>
    <cellStyle name="Heading 3 3" xfId="159" xr:uid="{3D54648D-0FE4-45DC-9080-C54F3BD94570}"/>
    <cellStyle name="Heading 4 2" xfId="160" xr:uid="{F5C75AFC-4604-4EA7-BC65-73D2A9E5B48C}"/>
    <cellStyle name="Heading 4 3" xfId="161" xr:uid="{34C98D32-D5AA-4A52-BFBE-9D1B7882849B}"/>
    <cellStyle name="Heading 4 3 2" xfId="420" xr:uid="{34C89E52-6726-4932-9E7B-5857C598DAFF}"/>
    <cellStyle name="Heading 5" xfId="162" xr:uid="{ECFBFAC3-E32E-484E-8ABB-81736BD835C0}"/>
    <cellStyle name="Heading 6" xfId="163" xr:uid="{009DB7E4-3375-41FF-94F1-5FBB4AECBBE0}"/>
    <cellStyle name="Heading 7" xfId="164" xr:uid="{759D2539-CFD8-433B-AA0C-EB35DB65ACB1}"/>
    <cellStyle name="Heading 8" xfId="165" xr:uid="{50C6A378-F19F-43A0-B9C7-8D0B61BB2995}"/>
    <cellStyle name="Highlight" xfId="18" xr:uid="{2C9CA402-ED7D-42F7-A4C1-DEBA56B8BA2B}"/>
    <cellStyle name="Hyperlink 2" xfId="19" xr:uid="{4CDCD291-6AF6-4BA0-A412-5BA609AFD75B}"/>
    <cellStyle name="Hyperlink 2 2" xfId="167" xr:uid="{1A6650B1-640A-443B-8EAF-9C2C2AB9D93C}"/>
    <cellStyle name="Hyperlink 3" xfId="27" xr:uid="{94093152-2AD9-40BB-84C5-C3C51C539E9C}"/>
    <cellStyle name="Hyperlink 4" xfId="32" xr:uid="{FDEFB9FD-A70D-41D0-8ECC-9781D57331A5}"/>
    <cellStyle name="Hyperlink 5" xfId="166" xr:uid="{B8F4C626-68B6-4EC5-943F-7262E60F449F}"/>
    <cellStyle name="Information" xfId="168" xr:uid="{68581EFF-9F67-4930-850D-0FDEEB530885}"/>
    <cellStyle name="Input [yellow]" xfId="169" xr:uid="{EE9CE21C-D263-4DF9-8924-804158DB3D83}"/>
    <cellStyle name="Input [yellow] 2" xfId="444" xr:uid="{7C427DA4-29C1-452A-95E8-86DC11D09E0F}"/>
    <cellStyle name="Input [yellow] 3" xfId="645" xr:uid="{56871BCC-B552-4999-B697-40A0B4D4BABB}"/>
    <cellStyle name="Input 10" xfId="170" xr:uid="{14CF2A98-411E-4482-9119-52F09DCD1E7B}"/>
    <cellStyle name="Input 10 2" xfId="445" xr:uid="{C6D0CF23-761D-4300-93A3-5999BC03E146}"/>
    <cellStyle name="Input 10 3" xfId="549" xr:uid="{BF1B8EDD-CDFB-4A03-AAA6-3193D1FD68D2}"/>
    <cellStyle name="Input 10 4" xfId="663" xr:uid="{76BB89C3-56F0-4DC8-B6F7-FFF2E13FEB8D}"/>
    <cellStyle name="Input 11" xfId="171" xr:uid="{0F2ACE34-EB62-4FBC-8A32-E9B00BEBD343}"/>
    <cellStyle name="Input 11 2" xfId="446" xr:uid="{4A74C22D-2F0E-4759-BAAE-C97604E91C9D}"/>
    <cellStyle name="Input 11 3" xfId="550" xr:uid="{777ABA83-8FE8-4301-A26B-3E5C4C1D2B86}"/>
    <cellStyle name="Input 11 4" xfId="662" xr:uid="{507CB77F-C767-4F2A-83F0-B6D0F2CD76FC}"/>
    <cellStyle name="Input 12" xfId="172" xr:uid="{66CD55A5-6BB3-44C5-8D14-4A6242590698}"/>
    <cellStyle name="Input 12 2" xfId="447" xr:uid="{8C2F3876-B23A-4780-86D3-DE26162C3B32}"/>
    <cellStyle name="Input 12 3" xfId="551" xr:uid="{C3AEA692-65F4-4669-B62F-02B2E67B7F94}"/>
    <cellStyle name="Input 12 4" xfId="661" xr:uid="{59FF6AA3-480B-42B9-9F5D-0888860BE748}"/>
    <cellStyle name="Input 13" xfId="173" xr:uid="{CB54FA57-4587-49D8-A12F-859D74CC35ED}"/>
    <cellStyle name="Input 13 2" xfId="448" xr:uid="{A32CDC56-C7AE-4477-9723-5A7874621183}"/>
    <cellStyle name="Input 13 3" xfId="552" xr:uid="{27BAF8A4-6682-433B-ADC6-0FDC4F5BDC25}"/>
    <cellStyle name="Input 13 4" xfId="659" xr:uid="{FD2C5432-4B5F-42AE-9D59-7CABCE49BCF7}"/>
    <cellStyle name="Input 14" xfId="174" xr:uid="{58B90A4B-8C71-4B42-8C51-24B8E4AEDB54}"/>
    <cellStyle name="Input 14 2" xfId="449" xr:uid="{CB4844BA-CC51-45DC-BF55-796B50E1B408}"/>
    <cellStyle name="Input 14 3" xfId="553" xr:uid="{96287941-A56A-41B0-A099-165CF13A8A3C}"/>
    <cellStyle name="Input 14 4" xfId="658" xr:uid="{8EB7C3F1-A275-46AB-A5A1-A40536A6939B}"/>
    <cellStyle name="Input 15" xfId="175" xr:uid="{FB242F57-A9D1-4CB9-892A-C666C35E2ED3}"/>
    <cellStyle name="Input 15 2" xfId="450" xr:uid="{A21013E4-82EE-4C0C-BA38-D75E258D153C}"/>
    <cellStyle name="Input 15 3" xfId="554" xr:uid="{361CD96F-9105-4906-BC49-8EECC45411E1}"/>
    <cellStyle name="Input 15 4" xfId="657" xr:uid="{8B99DE83-9DDF-42C5-A829-942C10D43557}"/>
    <cellStyle name="Input 16" xfId="176" xr:uid="{9BC903D9-6A60-48A1-BB06-DF31C0716C8E}"/>
    <cellStyle name="Input 16 2" xfId="451" xr:uid="{BA410599-A979-4D21-92A4-012AEBDD89C6}"/>
    <cellStyle name="Input 16 3" xfId="555" xr:uid="{A43AA896-FB0E-4242-B599-B810F287217C}"/>
    <cellStyle name="Input 16 4" xfId="656" xr:uid="{543F5036-BB2B-4CA7-A0AB-29A82AC62B3F}"/>
    <cellStyle name="Input 17" xfId="177" xr:uid="{DAC6ABC5-6AD6-493E-B3FA-E700A35DAF70}"/>
    <cellStyle name="Input 17 2" xfId="452" xr:uid="{7AD319CB-5978-41A9-BC8E-5AF42136E23A}"/>
    <cellStyle name="Input 17 3" xfId="556" xr:uid="{E1F39B98-9E63-408F-8705-D4910E34A801}"/>
    <cellStyle name="Input 17 4" xfId="655" xr:uid="{118F1BF1-2BB1-4701-B8FA-0B4699DEE2D8}"/>
    <cellStyle name="Input 18" xfId="178" xr:uid="{00A4F8C6-FDE0-4454-AB66-80B0E23A2BDC}"/>
    <cellStyle name="Input 18 2" xfId="453" xr:uid="{BE7AB287-8633-4263-ABD0-477C33DAE925}"/>
    <cellStyle name="Input 18 3" xfId="557" xr:uid="{2446D661-A49D-4E61-BF49-8421BF6BF593}"/>
    <cellStyle name="Input 18 4" xfId="654" xr:uid="{187DA7C0-C90A-4E98-9528-D81FF2CE6EE2}"/>
    <cellStyle name="Input 19" xfId="179" xr:uid="{2ACBF5F2-264D-4B93-ADF8-C486720F609D}"/>
    <cellStyle name="Input 19 2" xfId="454" xr:uid="{EA4CBED7-37B6-4061-AB7A-5CABDD84D532}"/>
    <cellStyle name="Input 19 3" xfId="558" xr:uid="{19BD22EB-FD37-4C7F-B463-3200816C15FC}"/>
    <cellStyle name="Input 19 4" xfId="724" xr:uid="{0A0E4EDF-C3B8-4D42-9FBB-3A990E0453D9}"/>
    <cellStyle name="Input 2" xfId="180" xr:uid="{402D1A74-74D6-4E0F-A353-4115C4285D2E}"/>
    <cellStyle name="Input 2 2" xfId="455" xr:uid="{9766E8BB-140D-4E26-AFB7-EDFBDCA24A7E}"/>
    <cellStyle name="Input 2 3" xfId="559" xr:uid="{5ABF7344-AF05-45D6-98E0-326E0B5C7FB0}"/>
    <cellStyle name="Input 2 4" xfId="725" xr:uid="{9ACEC805-B07B-4B81-881B-081953B27575}"/>
    <cellStyle name="Input 3" xfId="181" xr:uid="{EDAB6CEE-355A-4EAB-A424-45BE78A58FE2}"/>
    <cellStyle name="Input 3 2" xfId="456" xr:uid="{28ABEDCC-A972-4B1E-AEB7-49DDA3516B77}"/>
    <cellStyle name="Input 3 3" xfId="560" xr:uid="{DEBCFB05-59A5-4CE9-9897-B18FE89FA7F4}"/>
    <cellStyle name="Input 3 4" xfId="653" xr:uid="{0C76A78D-E4F1-489F-8910-75C6FC1498A2}"/>
    <cellStyle name="Input 4" xfId="182" xr:uid="{72435F0A-EAD1-4B08-AEC8-2145AE482390}"/>
    <cellStyle name="Input 4 2" xfId="457" xr:uid="{7E17E897-E0A5-45D8-AD56-E74B1772F71E}"/>
    <cellStyle name="Input 4 3" xfId="561" xr:uid="{95DC7F78-03DD-44E9-83D1-7773F98220B6}"/>
    <cellStyle name="Input 4 4" xfId="652" xr:uid="{DD010FCB-1595-4D62-87A6-8D1081A48120}"/>
    <cellStyle name="Input 5" xfId="183" xr:uid="{50B53A73-E5FA-4927-8446-4B4369496AE4}"/>
    <cellStyle name="Input 5 2" xfId="458" xr:uid="{53D3D527-3DDA-4D7D-8357-2D616E47C5C7}"/>
    <cellStyle name="Input 5 3" xfId="562" xr:uid="{92E42795-8505-41E4-8FD3-91C9FB66C6FF}"/>
    <cellStyle name="Input 5 4" xfId="651" xr:uid="{22234EBB-429E-4F26-A698-0AAA77100BA7}"/>
    <cellStyle name="Input 6" xfId="184" xr:uid="{5B47A49A-283B-405D-B5BC-80E09E6B810C}"/>
    <cellStyle name="Input 6 2" xfId="459" xr:uid="{B867F5E6-08D2-4934-8E9D-B9A289EE29C3}"/>
    <cellStyle name="Input 6 3" xfId="563" xr:uid="{4DB927EC-CDB3-43FD-AD56-8DC041320A32}"/>
    <cellStyle name="Input 6 4" xfId="650" xr:uid="{FB9406FA-F189-4E40-BD4B-AED67DCA40FF}"/>
    <cellStyle name="Input 7" xfId="185" xr:uid="{A040E9A5-CCBE-4EDC-8AC1-006823C30BD3}"/>
    <cellStyle name="Input 7 2" xfId="460" xr:uid="{BAC57EC5-A9A0-453A-A490-F129F38A4FA1}"/>
    <cellStyle name="Input 7 3" xfId="564" xr:uid="{2DEE0973-09E3-4844-9026-755599F16D7B}"/>
    <cellStyle name="Input 7 4" xfId="649" xr:uid="{5C07A989-6090-45AE-B1B3-57553DCA26AF}"/>
    <cellStyle name="Input 8" xfId="186" xr:uid="{E64DE2AF-65AA-4883-ACEE-721B6C36EAF4}"/>
    <cellStyle name="Input 8 2" xfId="461" xr:uid="{8FF56CA0-8943-4E09-AE81-A82574E20846}"/>
    <cellStyle name="Input 8 3" xfId="565" xr:uid="{76444972-8FF5-4746-A75B-427E223A3C9B}"/>
    <cellStyle name="Input 8 4" xfId="648" xr:uid="{BA6D6A20-6E3C-4F4D-99C8-F805CB0BE451}"/>
    <cellStyle name="Input 9" xfId="187" xr:uid="{F1672D5D-C2EC-409B-900E-6CB4CBDF3B6D}"/>
    <cellStyle name="Input 9 2" xfId="462" xr:uid="{52307B95-418F-49CE-AFE5-DA45B0F9B384}"/>
    <cellStyle name="Input 9 3" xfId="566" xr:uid="{09CB6EA4-FCBD-4C38-9D64-4A471BB14531}"/>
    <cellStyle name="Input 9 4" xfId="647" xr:uid="{CDBA1336-7182-4BA2-BEB2-8CB16C28F9BA}"/>
    <cellStyle name="Input assumption or parameter" xfId="62" xr:uid="{1AA8BE6B-B1B2-4727-A1BF-7B8FBCB850BD}"/>
    <cellStyle name="Input data" xfId="41" xr:uid="{A9982CD8-24C6-49C5-B915-F417A578E00A}"/>
    <cellStyle name="Input data 2" xfId="61" xr:uid="{4176B3AA-F9F2-4659-B5CB-345B114A4E56}"/>
    <cellStyle name="Input label link" xfId="40" xr:uid="{B830FCC3-15AC-4213-94DD-B2557BBCFB6E}"/>
    <cellStyle name="Input parameter" xfId="10" xr:uid="{53A31C98-275E-4DD2-ACA8-7B6A28D2A2B5}"/>
    <cellStyle name="Intentionally blank" xfId="68" xr:uid="{0BA661C7-309D-4D09-9390-076BD7B32CC7}"/>
    <cellStyle name="LabelIntersect" xfId="188" xr:uid="{5BBCDF5C-28C2-467A-9954-CA44F98D9BF3}"/>
    <cellStyle name="LabelLeft" xfId="189" xr:uid="{77A86B69-37E7-45E8-B4EE-B7034D1FC5F2}"/>
    <cellStyle name="LabelTop" xfId="190" xr:uid="{92AB4328-67E1-489D-AF40-4E25656D3F94}"/>
    <cellStyle name="Linked Cell 2" xfId="191" xr:uid="{20498084-06F5-4813-9615-EB88FEF0E327}"/>
    <cellStyle name="List" xfId="48" xr:uid="{EC44E1D7-266F-437D-BBA1-64D0E74AD486}"/>
    <cellStyle name="List total" xfId="49" xr:uid="{A2B3D164-EF85-4A33-8A54-BB8A5CF5305B}"/>
    <cellStyle name="Mik" xfId="192" xr:uid="{39A36981-F42C-4E83-874A-A47F83623D32}"/>
    <cellStyle name="Mik 2" xfId="193" xr:uid="{AD79373D-4DD5-4917-BD1A-57C9EF84DA73}"/>
    <cellStyle name="Mik_For fiscal tables" xfId="194" xr:uid="{49CE01A0-B7B2-41E8-97F6-1407B1876600}"/>
    <cellStyle name="Model calc" xfId="43" xr:uid="{507CE4DB-B484-459C-92E4-F17E75AC9BA4}"/>
    <cellStyle name="Model calc total" xfId="44" xr:uid="{069D6C54-E89D-43BE-84C8-1AF7113A61A1}"/>
    <cellStyle name="Model logic" xfId="67" xr:uid="{3F72E27E-D470-421D-9DB2-8C78D6DED0D9}"/>
    <cellStyle name="Model output" xfId="47" xr:uid="{306F1E7F-0343-4D46-A270-326A025815A8}"/>
    <cellStyle name="Model variable" xfId="35" xr:uid="{87808804-F8E1-44D9-8CD6-DF7D8575FC44}"/>
    <cellStyle name="N" xfId="195" xr:uid="{FDA7BB86-518D-4B49-BCC4-0EE03FCF77CC}"/>
    <cellStyle name="N 2" xfId="196" xr:uid="{9A328431-1E74-4CCD-AC88-49A27BA44542}"/>
    <cellStyle name="Name" xfId="11" xr:uid="{2AEB9D4A-FB55-4DE1-9F2E-D51CE9B1A29D}"/>
    <cellStyle name="Named range" xfId="74" xr:uid="{48CC4354-C487-4CCE-89BA-1006793B0618}"/>
    <cellStyle name="Neutral 2" xfId="197" xr:uid="{A88F9B81-5157-4CEE-9BE8-6BA15B8C04B1}"/>
    <cellStyle name="Normal" xfId="0" builtinId="0"/>
    <cellStyle name="Normal - Style1" xfId="198" xr:uid="{B16DF348-F367-4B58-BBF3-077153BE5BC0}"/>
    <cellStyle name="Normal - Style2" xfId="199" xr:uid="{D39D5984-3BC9-4947-A9BA-1FE1AF15B05C}"/>
    <cellStyle name="Normal - Style3" xfId="200" xr:uid="{804983DF-7FBD-4246-992F-DE9AB9AA6ADB}"/>
    <cellStyle name="Normal - Style4" xfId="201" xr:uid="{F3B6F418-AEA9-4A4C-BDF8-DBE90BC9AF1E}"/>
    <cellStyle name="Normal - Style5" xfId="202" xr:uid="{584997DC-BED5-4544-857B-8DD78C1457D9}"/>
    <cellStyle name="Normal 10" xfId="203" xr:uid="{1890E5BC-2824-4A24-B6B5-A337FF1F3CEA}"/>
    <cellStyle name="Normal 10 2 2" xfId="427" xr:uid="{A24ABCDA-C95F-42B2-A77B-27FA6FA7693D}"/>
    <cellStyle name="Normal 10 4" xfId="426" xr:uid="{56F0E7A3-17C2-44F4-8920-D8D94A2D211E}"/>
    <cellStyle name="Normal 11" xfId="204" xr:uid="{61D873BA-F038-4644-BFCF-3EDFDDED82AD}"/>
    <cellStyle name="Normal 12" xfId="205" xr:uid="{E170F932-F29E-42F3-A577-0AF5DF985084}"/>
    <cellStyle name="Normal 13" xfId="206" xr:uid="{19E3126E-EB83-4AF9-A388-50CD0780A52C}"/>
    <cellStyle name="Normal 14" xfId="207" xr:uid="{7265FDD2-AACE-401F-BD07-6C026A083F41}"/>
    <cellStyle name="Normal 15" xfId="208" xr:uid="{0FAC38B9-1A5A-41AE-B2A2-1BE3A2D8694C}"/>
    <cellStyle name="Normal 16" xfId="209" xr:uid="{58C5C9C0-7E72-4F60-AB7A-512B752E229D}"/>
    <cellStyle name="Normal 17" xfId="210" xr:uid="{4F2AE2E1-5431-4E1D-9C75-36641B9F9D7D}"/>
    <cellStyle name="Normal 18" xfId="211" xr:uid="{3E0B5516-4141-4A8A-A45B-B0C062CE20DC}"/>
    <cellStyle name="Normal 19" xfId="212" xr:uid="{2CBE2EBE-CC89-488A-A03D-8DCCA2801106}"/>
    <cellStyle name="Normal 2" xfId="9" xr:uid="{87523E52-0DD4-43DB-9F2E-48B72A1E7449}"/>
    <cellStyle name="Normal 2 2" xfId="22" xr:uid="{30F4CBF2-B904-4797-954B-9B727BE86D97}"/>
    <cellStyle name="Normal 2 2 2" xfId="214" xr:uid="{C1F6E7CD-C100-4B5E-B2DF-C54EBE847405}"/>
    <cellStyle name="Normal 2 2 2 2" xfId="402" xr:uid="{F9E54EF3-1164-42F9-9B17-B324036974EC}"/>
    <cellStyle name="Normal 2 3" xfId="33" xr:uid="{72E67BD7-974B-4A10-8ACE-5CA9D66796E5}"/>
    <cellStyle name="Normal 2 3 2" xfId="55" xr:uid="{FD70C1D6-A759-4349-B208-A2952DB5BEBE}"/>
    <cellStyle name="Normal 2 4" xfId="213" xr:uid="{81B1A473-2C48-4B5F-89C1-797BB8B9A862}"/>
    <cellStyle name="Normal 20" xfId="215" xr:uid="{2964FD9E-5EF2-42EB-8CB0-C2D7ED45835B}"/>
    <cellStyle name="Normal 21" xfId="216" xr:uid="{4B91DEC8-6739-40D3-ABF3-C1FB41245D75}"/>
    <cellStyle name="Normal 21 2" xfId="217" xr:uid="{EF888AAE-FFB4-4FC5-A4D4-498804D2F1C3}"/>
    <cellStyle name="Normal 21_Copy of Fiscal Tables" xfId="218" xr:uid="{0D7187FF-99FE-4896-953D-61EE4F51CE19}"/>
    <cellStyle name="Normal 22" xfId="219" xr:uid="{258CC5C5-2C26-4C08-A9C4-FA5BAB0F66D3}"/>
    <cellStyle name="Normal 22 2" xfId="220" xr:uid="{ED7CBBF4-1532-46EF-81B9-DB897E9FC860}"/>
    <cellStyle name="Normal 22_Copy of Fiscal Tables" xfId="221" xr:uid="{AB685D49-28E2-4289-B611-B7F0A2721F63}"/>
    <cellStyle name="Normal 23" xfId="222" xr:uid="{D790E674-B529-4F7B-B2D7-8D286A121209}"/>
    <cellStyle name="Normal 24" xfId="223" xr:uid="{62ADA575-9C7C-4C86-A574-3E9A0B4BDB3C}"/>
    <cellStyle name="Normal 24 2" xfId="224" xr:uid="{103C7900-95E2-44F7-A133-88CF88BEB47E}"/>
    <cellStyle name="Normal 25" xfId="225" xr:uid="{01517678-E417-470C-A06A-B557E7FFB38D}"/>
    <cellStyle name="Normal 25 2" xfId="226" xr:uid="{1C695567-7EC7-4CBF-862D-72726B67C15F}"/>
    <cellStyle name="Normal 26" xfId="227" xr:uid="{24375277-15D0-4DF8-8228-4FDE3037C893}"/>
    <cellStyle name="Normal 26 2" xfId="228" xr:uid="{D3573DF2-9691-4F97-A8B6-86D886A5AF13}"/>
    <cellStyle name="Normal 27" xfId="229" xr:uid="{7015D8B6-4765-4F20-9889-365A31AC0A41}"/>
    <cellStyle name="Normal 27 2" xfId="230" xr:uid="{5C5861A3-E54A-41AA-A108-DA6954C457A6}"/>
    <cellStyle name="Normal 28" xfId="231" xr:uid="{06282005-E4F7-4084-9C94-109DC513C406}"/>
    <cellStyle name="Normal 28 2" xfId="232" xr:uid="{66F2A8B6-A8AE-4187-BBB5-29998AB4B640}"/>
    <cellStyle name="Normal 29" xfId="233" xr:uid="{8ACDE3B7-4D4D-4FB3-BDAF-06DC1903D1E3}"/>
    <cellStyle name="Normal 29 2" xfId="234" xr:uid="{FF9B68E6-52A7-4D7B-88BC-244D76B70EC4}"/>
    <cellStyle name="Normal 3" xfId="20" xr:uid="{ADA65B93-7061-4C62-9D27-1538B62AA566}"/>
    <cellStyle name="Normal 3 2" xfId="78" xr:uid="{991E31D9-8F86-4DCB-85B5-BF193A63BBB2}"/>
    <cellStyle name="Normal 3 2 2" xfId="403" xr:uid="{53538D8B-CA32-4447-8337-0802675CC4BC}"/>
    <cellStyle name="Normal 3 2 2 8" xfId="734" xr:uid="{966694DF-C54B-449A-AED6-F0B09793F6E3}"/>
    <cellStyle name="Normal 3 2 3" xfId="236" xr:uid="{9E3D7488-5136-43E8-946A-A9A005039280}"/>
    <cellStyle name="Normal 3 3" xfId="235" xr:uid="{7D10119B-AF66-452A-8997-358E4FB1F13E}"/>
    <cellStyle name="Normal 3 3 2" xfId="428" xr:uid="{2E6B8784-C780-4728-9889-9FB22BFBDEFD}"/>
    <cellStyle name="Normal 3_asset sales" xfId="237" xr:uid="{F317B011-5527-40F9-92AB-C581A05C46EB}"/>
    <cellStyle name="Normal 30" xfId="238" xr:uid="{F412E4F4-AC03-402A-A61F-9D3E0835740A}"/>
    <cellStyle name="Normal 30 2" xfId="239" xr:uid="{F4CC2A29-9F01-4430-8358-707936B05570}"/>
    <cellStyle name="Normal 31" xfId="240" xr:uid="{DCF3E6E9-E77D-4466-A7CE-0C61AA28CE3D}"/>
    <cellStyle name="Normal 31 2" xfId="241" xr:uid="{61620CBB-FB73-436A-8116-DB90DED550E6}"/>
    <cellStyle name="Normal 32" xfId="242" xr:uid="{B2464AAD-7EF4-4DEE-8056-B9DFDFBF7BA9}"/>
    <cellStyle name="Normal 32 2" xfId="243" xr:uid="{B3B170AB-C18B-4F50-A251-21CE25E5E7B5}"/>
    <cellStyle name="Normal 33" xfId="244" xr:uid="{D68A779C-712D-4C14-89E8-F78D3AF88373}"/>
    <cellStyle name="Normal 33 2" xfId="245" xr:uid="{60B7B96F-B48B-4EC9-A413-C20F195C7129}"/>
    <cellStyle name="Normal 34" xfId="246" xr:uid="{C9FC24D5-E1BE-499F-8749-F6EEDB28EFE9}"/>
    <cellStyle name="Normal 34 2" xfId="247" xr:uid="{0F467A52-4105-4AD0-9B25-CA77CADA8F21}"/>
    <cellStyle name="Normal 35" xfId="248" xr:uid="{D54413EC-2EFA-4072-B1A1-D91CD7E1B6FE}"/>
    <cellStyle name="Normal 35 2" xfId="249" xr:uid="{633EE477-8EC3-4AC2-95CE-DB1FD531C618}"/>
    <cellStyle name="Normal 36" xfId="250" xr:uid="{C05201CE-435D-48EC-8AB2-B6FDAC9A9D77}"/>
    <cellStyle name="Normal 37" xfId="251" xr:uid="{755B7A5C-25AC-42D5-9819-3E09A213E2DD}"/>
    <cellStyle name="Normal 38" xfId="252" xr:uid="{B4C59AF8-70C5-4154-AE08-F93FCCB03657}"/>
    <cellStyle name="Normal 39" xfId="253" xr:uid="{7D85D2D2-022E-4AF3-8003-C164E1E244CD}"/>
    <cellStyle name="Normal 4" xfId="25" xr:uid="{3318C08C-88BC-4191-BFF5-5E1700D185D0}"/>
    <cellStyle name="Normal 4 2" xfId="254" xr:uid="{1CCEABE7-4EFB-4CEF-B944-85819CAA03C7}"/>
    <cellStyle name="Normal 40" xfId="255" xr:uid="{F972D3CE-EC2A-48D0-AB98-243DEEEB3716}"/>
    <cellStyle name="Normal 41" xfId="256" xr:uid="{C255B465-6FEC-4380-A0CD-5CD35F5BDF89}"/>
    <cellStyle name="Normal 42" xfId="257" xr:uid="{357E5E3D-3AD7-42F1-BBF2-202824F9D02D}"/>
    <cellStyle name="Normal 43" xfId="258" xr:uid="{910C6096-79AD-4699-88BE-3381BADD2D7F}"/>
    <cellStyle name="Normal 44" xfId="259" xr:uid="{300C5ACA-0C35-4D54-94EF-070B881514C5}"/>
    <cellStyle name="Normal 45" xfId="260" xr:uid="{747DCBDA-7F0E-49B3-9276-4F09270443D2}"/>
    <cellStyle name="Normal 46" xfId="261" xr:uid="{0DC18991-5B73-44A6-B144-EA15B2AE2CA6}"/>
    <cellStyle name="Normal 47" xfId="262" xr:uid="{395CEFA9-1090-4E2F-B907-5A103C53035C}"/>
    <cellStyle name="Normal 48" xfId="405" xr:uid="{6F48DCBC-9FC2-475F-8A62-D3B174FEC910}"/>
    <cellStyle name="Normal 48 2" xfId="517" xr:uid="{76DF60DC-8470-4C5E-A04D-38E3F26D14F1}"/>
    <cellStyle name="Normal 49" xfId="406" xr:uid="{38876B60-6D00-4E78-A763-DB2DBF6484A6}"/>
    <cellStyle name="Normal 49 2" xfId="518" xr:uid="{94A2F31F-10B2-4BDC-90DB-8D57C79BF9E0}"/>
    <cellStyle name="Normal 5" xfId="56" xr:uid="{28D3490D-B37B-4479-8B63-561D41364174}"/>
    <cellStyle name="Normal 5 2" xfId="263" xr:uid="{AA56CDFE-552A-4901-BB80-016DC750D6CC}"/>
    <cellStyle name="Normal 5 3" xfId="86" xr:uid="{D0DE76B9-E666-43DB-A568-FDF870237E4F}"/>
    <cellStyle name="Normal 50" xfId="407" xr:uid="{E588E2CD-BF2F-433B-8434-3D8B563A2DA0}"/>
    <cellStyle name="Normal 50 2" xfId="519" xr:uid="{7FA85BC1-62D0-4654-A510-1B552EF6947E}"/>
    <cellStyle name="Normal 51" xfId="57" xr:uid="{CBD50171-3436-40BE-B8C0-B562F8FA1C94}"/>
    <cellStyle name="Normal 6" xfId="264" xr:uid="{F6949A59-DE97-41EF-B27D-65F0274B0991}"/>
    <cellStyle name="Normal 67" xfId="28" xr:uid="{7970C59A-000E-44DE-B96A-BD47F50C57B2}"/>
    <cellStyle name="Normal 7" xfId="265" xr:uid="{9C7289F0-6927-418D-9F59-8A2CF41C5D24}"/>
    <cellStyle name="Normal 8" xfId="266" xr:uid="{E405BF72-32B6-46F0-8B73-4D4052057E69}"/>
    <cellStyle name="Normal 85" xfId="31" xr:uid="{BDF475DF-A728-42F7-8EDF-C94D3800AB9F}"/>
    <cellStyle name="Normal 86" xfId="29" xr:uid="{ECEABA9E-761F-4C49-9A6E-4BD529B8EC4C}"/>
    <cellStyle name="Normal 87" xfId="30" xr:uid="{91F8DB94-B9F0-4417-9A5E-7FC8FCAF515B}"/>
    <cellStyle name="Normal 9" xfId="267" xr:uid="{D9C3A621-B5B0-42A2-B16E-839348E6FC7B}"/>
    <cellStyle name="Note 2" xfId="268" xr:uid="{88774B7C-D287-461D-85AE-5FC0BB6B2594}"/>
    <cellStyle name="Note 2 2" xfId="463" xr:uid="{595ACE41-0C09-4B29-97A3-A20A6EC86A33}"/>
    <cellStyle name="Note 2 3" xfId="567" xr:uid="{2F218B78-B695-41D1-9B23-6083C9053F6C}"/>
    <cellStyle name="Note 2 4" xfId="646" xr:uid="{8967A823-30D4-467B-A406-BC4A98C2FA0A}"/>
    <cellStyle name="Note or source" xfId="59" xr:uid="{6E651210-9E1C-4B05-B2A1-43D32F713174}"/>
    <cellStyle name="NoteOrSource" xfId="14" xr:uid="{2E42F843-0C7F-4FF5-AFC9-2D42E856EA25}"/>
    <cellStyle name="NoteOrSource 2" xfId="26" xr:uid="{F40AD940-871B-45B7-8007-98156D210226}"/>
    <cellStyle name="Ofcom input" xfId="37" xr:uid="{639A8415-9D9C-42D9-B2DE-7C5FFE24CD02}"/>
    <cellStyle name="Ofcom input 2" xfId="36" xr:uid="{0045CAD0-D5A2-4443-A5CC-7069729E5F4C}"/>
    <cellStyle name="Ofcom Output" xfId="8" xr:uid="{97B8D58D-95E1-499E-A113-3E54CA712ECA}"/>
    <cellStyle name="OfcomConfidential" xfId="13" xr:uid="{44659A0B-682F-4637-9838-8BC2D2DC07E9}"/>
    <cellStyle name="Output 2" xfId="269" xr:uid="{BF650436-D346-46F0-AF1C-1E1E72456105}"/>
    <cellStyle name="Output 2 2" xfId="464" xr:uid="{DA5EA80A-6285-4D82-9011-6E2966E4D25C}"/>
    <cellStyle name="Output 2 3" xfId="568" xr:uid="{068321C5-2A0B-448A-94D6-5B14823C0C4B}"/>
    <cellStyle name="Output 2 4" xfId="660" xr:uid="{BC188B1D-E175-4ECF-8FAF-82867128B7B6}"/>
    <cellStyle name="Output Amounts" xfId="270" xr:uid="{A1C5CC30-8FAE-4BDA-9DB9-F3F51F99385E}"/>
    <cellStyle name="Output Column Headings" xfId="271" xr:uid="{11D5985C-31AD-42FA-8603-C76F09E37A15}"/>
    <cellStyle name="Output Line Items" xfId="272" xr:uid="{EC1E964B-7325-44FB-B016-18512CB1DE87}"/>
    <cellStyle name="Output oet2017" xfId="69" xr:uid="{20648524-835A-4B85-AF4D-91B6D4A38E87}"/>
    <cellStyle name="Output Report Heading" xfId="273" xr:uid="{54697DDB-4DD5-4568-AE1B-EC551888D8A8}"/>
    <cellStyle name="Output Report Title" xfId="274" xr:uid="{03541C21-BEF9-497F-A276-87B56A0FEB67}"/>
    <cellStyle name="P" xfId="275" xr:uid="{F58CC282-1971-4F18-B46E-8CD8EFED8DC6}"/>
    <cellStyle name="P 2" xfId="276" xr:uid="{63DF51BA-59A8-41A6-A973-5721C7D2A130}"/>
    <cellStyle name="Per cent" xfId="3" builtinId="5"/>
    <cellStyle name="Percent [0%]" xfId="24" xr:uid="{9383B232-60F0-453D-A05F-41CA843AAC39}"/>
    <cellStyle name="Percent [2]" xfId="277" xr:uid="{A5D74AFC-09D9-4D3D-90C3-4FF847875CAA}"/>
    <cellStyle name="Percent 2" xfId="15" xr:uid="{191E4311-D451-4A68-8A78-B812E1A991AC}"/>
    <cellStyle name="Percent 2 2" xfId="278" xr:uid="{A2BDC2DC-6B14-4109-A00F-65CFB7B15B6A}"/>
    <cellStyle name="Percent 3" xfId="21" xr:uid="{5941099C-616B-4C23-B6D4-5F094C6B4FF5}"/>
    <cellStyle name="Percent 3 2" xfId="279" xr:uid="{8DDC7DCA-6147-4587-A496-308FF22889B6}"/>
    <cellStyle name="Percent 4" xfId="280" xr:uid="{ED1E3E41-BFEA-479E-9B61-E621FEA92133}"/>
    <cellStyle name="Percent 4 2" xfId="281" xr:uid="{FA0B2C61-D320-47BB-9804-83A23BBD05B6}"/>
    <cellStyle name="Percent 5" xfId="282" xr:uid="{EFED9EF2-76E5-4DF9-82E5-7B4961C0AA06}"/>
    <cellStyle name="Percent 6" xfId="283" xr:uid="{4A41C544-2CB7-48D4-A8D3-E365364E394E}"/>
    <cellStyle name="Percent 7" xfId="284" xr:uid="{D34FA792-DAE0-492A-BE0B-01CC4473FE9E}"/>
    <cellStyle name="QA highlight" xfId="70" xr:uid="{BEF72842-29D9-42D5-A64B-6EEC49045A12}"/>
    <cellStyle name="Randomized" xfId="50" xr:uid="{759A2875-7E9C-4D35-8F24-43CF534B7C16}"/>
    <cellStyle name="Randomized 2" xfId="66" xr:uid="{C0AF674A-90DB-41E6-AD8F-1E30C248F5F0}"/>
    <cellStyle name="Range name" xfId="75" xr:uid="{37D5E64A-A9C7-4469-9247-B0F1DFFACCA5}"/>
    <cellStyle name="Refdb standard" xfId="285" xr:uid="{D3C7AD2A-4467-4C51-9B30-7175D91A4224}"/>
    <cellStyle name="ReportData" xfId="286" xr:uid="{0B4AD62B-C770-48CE-9E8A-68CC3C9D5841}"/>
    <cellStyle name="ReportElements" xfId="287" xr:uid="{A98B4833-C67F-481F-9EDD-7934DDF0FB60}"/>
    <cellStyle name="ReportHeader" xfId="288" xr:uid="{960E8F38-FF29-49E2-A092-C32B844B8CAA}"/>
    <cellStyle name="ReportHeader 2" xfId="465" xr:uid="{6812C42A-788D-4137-8191-81C3F6652B2F}"/>
    <cellStyle name="ReportHeader 3" xfId="664" xr:uid="{9A7F8A7A-0B1D-4C00-9BD2-96C862A5FF74}"/>
    <cellStyle name="SAPBEXaggData" xfId="289" xr:uid="{A7683F35-86B4-43D1-AAC6-78B53E3FFCB3}"/>
    <cellStyle name="SAPBEXaggData 2" xfId="466" xr:uid="{889E0EA8-E81F-4F25-940C-514D83E5E713}"/>
    <cellStyle name="SAPBEXaggData 3" xfId="569" xr:uid="{BBB312E5-5CBC-48E9-8F31-56A29E531E3A}"/>
    <cellStyle name="SAPBEXaggData 4" xfId="665" xr:uid="{FD5C7F0C-B441-433B-9726-8706A3C28537}"/>
    <cellStyle name="SAPBEXaggDataEmph" xfId="290" xr:uid="{11038891-E37A-49D8-B323-38877E2539CE}"/>
    <cellStyle name="SAPBEXaggDataEmph 2" xfId="467" xr:uid="{72D67B40-9CDB-46A0-80B4-0EF5AC1D7CAD}"/>
    <cellStyle name="SAPBEXaggDataEmph 3" xfId="570" xr:uid="{6FAD242C-6761-4F78-828D-760459F2A8F1}"/>
    <cellStyle name="SAPBEXaggDataEmph 4" xfId="666" xr:uid="{FA515A53-A542-4CE7-998C-737ABC3FA65A}"/>
    <cellStyle name="SAPBEXaggItem" xfId="291" xr:uid="{8C5C3182-B991-4BE7-B3C2-1E7B9801F66D}"/>
    <cellStyle name="SAPBEXaggItem 2" xfId="468" xr:uid="{22C60EFB-9F9F-414F-84B8-61B6F0254C64}"/>
    <cellStyle name="SAPBEXaggItem 3" xfId="571" xr:uid="{F6E1308C-F73D-46D5-8333-A359A5323997}"/>
    <cellStyle name="SAPBEXaggItem 4" xfId="667" xr:uid="{715FFAE4-3F77-42A6-B820-50B3AA0F0EF2}"/>
    <cellStyle name="SAPBEXaggItemX" xfId="292" xr:uid="{A0AB418F-E0DC-4F2F-A2E0-C9D9C04CD0AC}"/>
    <cellStyle name="SAPBEXaggItemX 2" xfId="469" xr:uid="{140A3726-2118-48A7-A317-8F98703BF3CA}"/>
    <cellStyle name="SAPBEXaggItemX 3" xfId="572" xr:uid="{E0165DB9-1BB4-4E80-BE14-68E026C084AA}"/>
    <cellStyle name="SAPBEXaggItemX 4" xfId="668" xr:uid="{7B84B70D-E63B-4DD5-90C7-056A3FEAC227}"/>
    <cellStyle name="SAPBEXchaText" xfId="293" xr:uid="{127A9DC6-52A9-44F3-A37A-2804BCDC28F2}"/>
    <cellStyle name="SAPBEXchaText 2" xfId="470" xr:uid="{89A99911-5701-43C2-B212-9ADFEC87BD9F}"/>
    <cellStyle name="SAPBEXchaText 3" xfId="573" xr:uid="{9297B828-41A6-4A14-A90C-126CC6D7275B}"/>
    <cellStyle name="SAPBEXchaText 4" xfId="669" xr:uid="{C925A693-26D0-465B-8400-614F08D4D45B}"/>
    <cellStyle name="SAPBEXexcBad7" xfId="294" xr:uid="{974D3EF3-DA80-4775-9CD9-BADAE7AC33B2}"/>
    <cellStyle name="SAPBEXexcBad7 2" xfId="471" xr:uid="{2878B874-A250-4F9D-A07B-9D8F4053DCBD}"/>
    <cellStyle name="SAPBEXexcBad7 3" xfId="574" xr:uid="{B409A67D-8B2C-47A3-93A3-3C27902A0E47}"/>
    <cellStyle name="SAPBEXexcBad7 4" xfId="670" xr:uid="{FD11E32B-C03E-4483-8178-84837B4B8E43}"/>
    <cellStyle name="SAPBEXexcBad8" xfId="295" xr:uid="{AC6038B6-132E-4826-9C56-6CF1BFC372DA}"/>
    <cellStyle name="SAPBEXexcBad8 2" xfId="472" xr:uid="{EA822869-5B0A-48EA-B708-2ABE12624042}"/>
    <cellStyle name="SAPBEXexcBad8 3" xfId="575" xr:uid="{3A5B3122-7D27-44EC-A47E-78510BF6E312}"/>
    <cellStyle name="SAPBEXexcBad8 4" xfId="671" xr:uid="{EFB3DE20-2F0B-4086-B21F-23E46CF8EF9F}"/>
    <cellStyle name="SAPBEXexcBad9" xfId="296" xr:uid="{6AFF78DD-28E6-4F1C-9F99-DD695F48561C}"/>
    <cellStyle name="SAPBEXexcBad9 2" xfId="473" xr:uid="{533C9DB7-4F53-4038-9B61-3EF6A8B3D21F}"/>
    <cellStyle name="SAPBEXexcBad9 3" xfId="576" xr:uid="{226C5B35-0E68-41D6-A925-52922BFE0071}"/>
    <cellStyle name="SAPBEXexcBad9 4" xfId="672" xr:uid="{7C8C5D79-0AAC-41A7-98EB-C53D0321BF89}"/>
    <cellStyle name="SAPBEXexcCritical4" xfId="297" xr:uid="{BCF0881E-866C-4529-B7C4-D1242B9309ED}"/>
    <cellStyle name="SAPBEXexcCritical4 2" xfId="474" xr:uid="{5CA5B528-8DA4-40F6-87B9-5212D930CDDD}"/>
    <cellStyle name="SAPBEXexcCritical4 3" xfId="577" xr:uid="{A378033D-F311-4BEA-A75B-F614450D64D2}"/>
    <cellStyle name="SAPBEXexcCritical4 4" xfId="673" xr:uid="{102D880A-7E10-4E6A-98E9-DA20C94E0496}"/>
    <cellStyle name="SAPBEXexcCritical5" xfId="298" xr:uid="{E37D9C4E-EEB0-4FBF-8428-C12E0AE8B2CF}"/>
    <cellStyle name="SAPBEXexcCritical5 2" xfId="475" xr:uid="{0326D5CF-6447-40AD-8F9A-C488794E512D}"/>
    <cellStyle name="SAPBEXexcCritical5 3" xfId="578" xr:uid="{DB310C8F-F127-415F-9647-0E81F8D73EA8}"/>
    <cellStyle name="SAPBEXexcCritical5 4" xfId="674" xr:uid="{92F16C43-BF98-40F4-BAB4-8F57A12F14B6}"/>
    <cellStyle name="SAPBEXexcCritical6" xfId="299" xr:uid="{EAE822B9-E7BB-44DC-9ED2-E503A48B7586}"/>
    <cellStyle name="SAPBEXexcCritical6 2" xfId="476" xr:uid="{634152C7-DCA7-455D-A2F1-39CD7B3EB9A5}"/>
    <cellStyle name="SAPBEXexcCritical6 3" xfId="579" xr:uid="{C66B9EB9-9B5B-4F9D-89C8-11959518B5F7}"/>
    <cellStyle name="SAPBEXexcCritical6 4" xfId="675" xr:uid="{6E55AA23-CC96-4650-8C14-0054C2649EC9}"/>
    <cellStyle name="SAPBEXexcGood1" xfId="300" xr:uid="{FEB29155-5EE5-42F2-B0C3-2FB94AE59A13}"/>
    <cellStyle name="SAPBEXexcGood1 2" xfId="477" xr:uid="{6AE1838A-82FC-4FB9-804F-28583C3AE10B}"/>
    <cellStyle name="SAPBEXexcGood1 3" xfId="580" xr:uid="{9FA32893-7C4D-47A2-BF4C-91A2110D914A}"/>
    <cellStyle name="SAPBEXexcGood1 4" xfId="676" xr:uid="{C1DCEE32-DA23-4FEA-9281-A145EB90AAB7}"/>
    <cellStyle name="SAPBEXexcGood2" xfId="301" xr:uid="{1273FA00-82DF-4F34-AFE6-FC23AF08EEFF}"/>
    <cellStyle name="SAPBEXexcGood2 2" xfId="478" xr:uid="{D3A7A113-5389-4BBB-8A5D-49019E095D4B}"/>
    <cellStyle name="SAPBEXexcGood2 3" xfId="581" xr:uid="{30DB3739-0B70-45BC-A9D1-03F336837ECC}"/>
    <cellStyle name="SAPBEXexcGood2 4" xfId="677" xr:uid="{80C8C201-32F0-45AC-B335-90067BCB2FD6}"/>
    <cellStyle name="SAPBEXexcGood3" xfId="302" xr:uid="{5CFD9882-82E4-4A14-8A54-47E0CD3F016A}"/>
    <cellStyle name="SAPBEXexcGood3 2" xfId="479" xr:uid="{92B9E134-3FA1-4C8D-95E5-4134BB2AE32D}"/>
    <cellStyle name="SAPBEXexcGood3 3" xfId="582" xr:uid="{0A833CA2-62BC-4B96-B219-C8147FFA1D7B}"/>
    <cellStyle name="SAPBEXexcGood3 4" xfId="678" xr:uid="{0CF70120-FB0E-4484-8439-61E18733982C}"/>
    <cellStyle name="SAPBEXfilterDrill" xfId="303" xr:uid="{4E68B5B9-F9B8-4BE8-A2C5-71C9908765C7}"/>
    <cellStyle name="SAPBEXfilterDrill 2" xfId="480" xr:uid="{A5B8B444-04B4-456B-A11F-7D63D9752456}"/>
    <cellStyle name="SAPBEXfilterDrill 3" xfId="583" xr:uid="{082207C7-D76C-4475-BC40-A6C467B64A09}"/>
    <cellStyle name="SAPBEXfilterDrill 4" xfId="679" xr:uid="{F51B09F0-58BF-421F-BF98-853A9808C8D3}"/>
    <cellStyle name="SAPBEXfilterItem" xfId="304" xr:uid="{547B82D0-C5F0-47EC-A155-035C2B499493}"/>
    <cellStyle name="SAPBEXfilterItem 2" xfId="481" xr:uid="{98C6A423-1533-41BE-AC16-375CD4D284FC}"/>
    <cellStyle name="SAPBEXfilterText" xfId="305" xr:uid="{2DCA8611-8011-40F3-A545-D8972FD52493}"/>
    <cellStyle name="SAPBEXformats" xfId="306" xr:uid="{253E5082-4A6A-4C0F-8731-87A5B415C986}"/>
    <cellStyle name="SAPBEXformats 2" xfId="482" xr:uid="{61DB0D82-343A-49DE-B4C6-6B0A2DCE9637}"/>
    <cellStyle name="SAPBEXformats 3" xfId="584" xr:uid="{FC1C8E62-148E-495B-9D50-3A4198168435}"/>
    <cellStyle name="SAPBEXformats 4" xfId="680" xr:uid="{4A5E296F-8BC1-4E8A-88B1-B4D5EB0B213D}"/>
    <cellStyle name="SAPBEXheaderItem" xfId="307" xr:uid="{A42DA616-AC25-476A-B228-C6F64473AC7C}"/>
    <cellStyle name="SAPBEXheaderItem 2" xfId="483" xr:uid="{5223003F-CFF8-49BF-B49D-82A57A2D7AFC}"/>
    <cellStyle name="SAPBEXheaderItem 3" xfId="585" xr:uid="{1D396C46-CC9B-4460-8D50-3430ADE27237}"/>
    <cellStyle name="SAPBEXheaderItem 4" xfId="681" xr:uid="{1B31ED18-3688-436C-91D4-D789E5E3103F}"/>
    <cellStyle name="SAPBEXheaderText" xfId="308" xr:uid="{72A079B5-2FBD-4A9F-B294-D85E0E10DD72}"/>
    <cellStyle name="SAPBEXheaderText 2" xfId="484" xr:uid="{176FFEFA-329E-40A8-A152-349BEE0DFD8A}"/>
    <cellStyle name="SAPBEXheaderText 3" xfId="586" xr:uid="{42584630-D0DB-419C-B615-ADCEB5DEE9D0}"/>
    <cellStyle name="SAPBEXheaderText 4" xfId="682" xr:uid="{4800907E-D59D-489D-B1A0-01F0A4121FDA}"/>
    <cellStyle name="SAPBEXHLevel0" xfId="309" xr:uid="{63AE164F-1319-4A0D-AA0A-6EC345AEA8E7}"/>
    <cellStyle name="SAPBEXHLevel0 2" xfId="485" xr:uid="{599E3E03-E409-44ED-9C77-BACA2514916D}"/>
    <cellStyle name="SAPBEXHLevel0 3" xfId="587" xr:uid="{EBEBE575-668D-4E9E-93A7-BAD0C52A7FC9}"/>
    <cellStyle name="SAPBEXHLevel0 4" xfId="683" xr:uid="{A1682F09-7A0B-4B16-9176-AD6A40AF4541}"/>
    <cellStyle name="SAPBEXHLevel0X" xfId="310" xr:uid="{571AFAE8-4DFE-47AA-BC60-B4A6C34C5CBC}"/>
    <cellStyle name="SAPBEXHLevel0X 2" xfId="486" xr:uid="{45B6F7C7-466F-4C4D-AC78-BF51280B52B5}"/>
    <cellStyle name="SAPBEXHLevel0X 3" xfId="588" xr:uid="{D440E547-D47B-4CEC-AD20-7CBF1B924369}"/>
    <cellStyle name="SAPBEXHLevel0X 4" xfId="684" xr:uid="{DE5B08CF-6CCB-4CE6-9103-7283F1815890}"/>
    <cellStyle name="SAPBEXHLevel1" xfId="311" xr:uid="{5929363A-3C38-4EF3-B399-91F1F05B77A3}"/>
    <cellStyle name="SAPBEXHLevel1 2" xfId="487" xr:uid="{EAF3C385-F886-485B-99C7-AEB2AC728699}"/>
    <cellStyle name="SAPBEXHLevel1 3" xfId="589" xr:uid="{98E66CA2-B82D-4E6B-AFE8-49CB4C23984F}"/>
    <cellStyle name="SAPBEXHLevel1 4" xfId="685" xr:uid="{5BD2781E-4421-458C-9E56-03964D551F30}"/>
    <cellStyle name="SAPBEXHLevel1X" xfId="312" xr:uid="{B737F3DF-9503-410B-929A-C79A9FFD6DB4}"/>
    <cellStyle name="SAPBEXHLevel1X 2" xfId="488" xr:uid="{D319531E-5972-4043-8843-09D33304A73B}"/>
    <cellStyle name="SAPBEXHLevel1X 3" xfId="590" xr:uid="{580A25F6-CBC0-4771-933E-7DB658A43B7A}"/>
    <cellStyle name="SAPBEXHLevel1X 4" xfId="686" xr:uid="{DDCBDD9C-2BC2-4E34-BE41-3AAF173CFBF8}"/>
    <cellStyle name="SAPBEXHLevel2" xfId="313" xr:uid="{D1BEDBD6-95F6-4773-B3F3-FED098F96963}"/>
    <cellStyle name="SAPBEXHLevel2 2" xfId="489" xr:uid="{378E3F4E-87D9-4A8A-9041-EC3B7CA8F7E2}"/>
    <cellStyle name="SAPBEXHLevel2 3" xfId="591" xr:uid="{2FAAE41D-56CF-4F1A-B941-9B7A41112B6E}"/>
    <cellStyle name="SAPBEXHLevel2 4" xfId="687" xr:uid="{B1C29C97-24AB-41F7-9ED3-C39C17A3F6BF}"/>
    <cellStyle name="SAPBEXHLevel2X" xfId="314" xr:uid="{126D7351-4B74-4384-A05A-9A628451210A}"/>
    <cellStyle name="SAPBEXHLevel2X 2" xfId="490" xr:uid="{639CE92C-187E-4D3A-8F24-0FD401A2FC00}"/>
    <cellStyle name="SAPBEXHLevel2X 3" xfId="592" xr:uid="{B17F53D2-D36F-4846-BAC2-054322A279AC}"/>
    <cellStyle name="SAPBEXHLevel2X 4" xfId="688" xr:uid="{AC91EA6C-7928-46A4-BA60-9ED446353A84}"/>
    <cellStyle name="SAPBEXHLevel3" xfId="315" xr:uid="{FFCEB46A-45AA-4355-AE0A-0A5347EF3D48}"/>
    <cellStyle name="SAPBEXHLevel3 2" xfId="491" xr:uid="{4AD943DF-2799-4DE1-BE69-90DE97165509}"/>
    <cellStyle name="SAPBEXHLevel3 3" xfId="593" xr:uid="{35B1DC6A-B1C0-46CD-B495-2869FBC43452}"/>
    <cellStyle name="SAPBEXHLevel3 4" xfId="689" xr:uid="{83BF638E-DAF0-4903-8162-8D717C05CEFA}"/>
    <cellStyle name="SAPBEXHLevel3X" xfId="316" xr:uid="{2454B990-D3A4-45E8-95DE-524A24457ED5}"/>
    <cellStyle name="SAPBEXHLevel3X 2" xfId="492" xr:uid="{C32F2F0E-2B6E-4E8D-998E-574CD74A503C}"/>
    <cellStyle name="SAPBEXHLevel3X 3" xfId="594" xr:uid="{FFE20829-F2E7-4B79-B5A0-0D787D81A68C}"/>
    <cellStyle name="SAPBEXHLevel3X 4" xfId="690" xr:uid="{A59431E7-2E6A-4D02-B5C8-601F7FA5E1A7}"/>
    <cellStyle name="SAPBEXresData" xfId="317" xr:uid="{5720B7A4-3543-46A9-BD0E-6FE65A91C5A2}"/>
    <cellStyle name="SAPBEXresData 2" xfId="493" xr:uid="{F8610946-CE92-40F5-B8F1-E897B925D57E}"/>
    <cellStyle name="SAPBEXresData 3" xfId="595" xr:uid="{0ABE5D77-6D7E-4B56-B4C9-CAFD40CFA746}"/>
    <cellStyle name="SAPBEXresData 4" xfId="691" xr:uid="{CA556829-5BE7-4E80-8AE7-B8D18EE0C4C9}"/>
    <cellStyle name="SAPBEXresDataEmph" xfId="318" xr:uid="{00A056FE-6FEA-4437-A6C7-4C65215C38F7}"/>
    <cellStyle name="SAPBEXresDataEmph 2" xfId="494" xr:uid="{78CEFD3C-6CB4-480C-A515-E399CB61DB2A}"/>
    <cellStyle name="SAPBEXresDataEmph 3" xfId="596" xr:uid="{5F34643D-F2F3-46FA-9C95-4EF4455BA4A3}"/>
    <cellStyle name="SAPBEXresDataEmph 4" xfId="692" xr:uid="{893BA292-D3FE-4461-8429-DEB6C8117923}"/>
    <cellStyle name="SAPBEXresItem" xfId="319" xr:uid="{A6F9937A-AC18-4572-B2C5-659B8BF05966}"/>
    <cellStyle name="SAPBEXresItem 2" xfId="495" xr:uid="{5FC9E40B-4712-4400-83D7-BDF733C5F150}"/>
    <cellStyle name="SAPBEXresItem 3" xfId="597" xr:uid="{5F646218-237A-4C9F-BE9C-4488A901646A}"/>
    <cellStyle name="SAPBEXresItem 4" xfId="693" xr:uid="{CE58CC3B-1968-4177-9294-65F8E5CCCEE2}"/>
    <cellStyle name="SAPBEXresItemX" xfId="320" xr:uid="{2B6DC70F-8623-4703-83A4-BA3A38DF98AE}"/>
    <cellStyle name="SAPBEXresItemX 2" xfId="496" xr:uid="{508E4BAB-7103-400F-AE9F-774D3A5D688E}"/>
    <cellStyle name="SAPBEXresItemX 3" xfId="598" xr:uid="{D22F4AEC-929D-44F9-8D70-9BADD7A26EA9}"/>
    <cellStyle name="SAPBEXresItemX 4" xfId="694" xr:uid="{E86B82D2-674F-4A93-9A56-2732DE8B9ECF}"/>
    <cellStyle name="SAPBEXstdData" xfId="321" xr:uid="{51895C9B-68A2-4F68-AC63-B572D9DDB1C0}"/>
    <cellStyle name="SAPBEXstdData 2" xfId="497" xr:uid="{BE4A8683-5C38-4FFE-91D5-37D389B05A7D}"/>
    <cellStyle name="SAPBEXstdData 3" xfId="599" xr:uid="{91126510-004B-4C09-9A2F-0683ADC6D377}"/>
    <cellStyle name="SAPBEXstdData 4" xfId="695" xr:uid="{BB23EFDF-DD18-434E-B88C-FD95693547DD}"/>
    <cellStyle name="SAPBEXstdDataEmph" xfId="322" xr:uid="{23196EDA-4BB1-4444-B785-32F5BAD1FD0C}"/>
    <cellStyle name="SAPBEXstdDataEmph 2" xfId="498" xr:uid="{6DE9CA14-9135-429F-BE5F-F519C5E5C7FB}"/>
    <cellStyle name="SAPBEXstdDataEmph 3" xfId="600" xr:uid="{157899A6-E2DB-482A-8544-21CD455F72C1}"/>
    <cellStyle name="SAPBEXstdDataEmph 4" xfId="696" xr:uid="{2528074C-08D9-4497-955E-353E0C7B5B5B}"/>
    <cellStyle name="SAPBEXstdItem" xfId="323" xr:uid="{161245EF-4E69-4091-B4E9-06D90B0106FA}"/>
    <cellStyle name="SAPBEXstdItem 2" xfId="499" xr:uid="{FCD2DCDB-8459-442B-A28F-F275C53AB777}"/>
    <cellStyle name="SAPBEXstdItem 3" xfId="601" xr:uid="{CBD8976E-AC20-454D-ACC7-51D371817E84}"/>
    <cellStyle name="SAPBEXstdItem 4" xfId="697" xr:uid="{80C17326-18C8-44E6-A022-A51A7A0D8534}"/>
    <cellStyle name="SAPBEXstdItemX" xfId="324" xr:uid="{016FBF3B-0527-494F-BFF5-A54A66065B11}"/>
    <cellStyle name="SAPBEXstdItemX 2" xfId="500" xr:uid="{E1C7ADB2-D1D5-4FA8-BE37-0097F9EA54EF}"/>
    <cellStyle name="SAPBEXstdItemX 3" xfId="602" xr:uid="{45AD1CEA-AF28-4F0E-956F-E04E87CA47BF}"/>
    <cellStyle name="SAPBEXstdItemX 4" xfId="698" xr:uid="{99849898-5DC8-4E45-9DAE-FB370AFD03A6}"/>
    <cellStyle name="SAPBEXtitle" xfId="325" xr:uid="{79586D1E-A463-4629-A1E9-310BDFCB2505}"/>
    <cellStyle name="SAPBEXundefined" xfId="326" xr:uid="{9D44054D-3B86-4301-9726-35F1B01563C6}"/>
    <cellStyle name="SAPBEXundefined 2" xfId="501" xr:uid="{46CBE027-A8AE-494C-A070-CCEA2FACC7BD}"/>
    <cellStyle name="SAPBEXundefined 3" xfId="603" xr:uid="{8A463A61-E192-4DD3-9BE1-93ABCF33FFDC}"/>
    <cellStyle name="SAPBEXundefined 4" xfId="699" xr:uid="{065D3A6F-8F0C-42E0-A953-39833D6E5FF3}"/>
    <cellStyle name="Source" xfId="12" xr:uid="{5D4FCDC2-237E-475F-82D0-445E8DE19201}"/>
    <cellStyle name="Style 1" xfId="327" xr:uid="{77640A21-8DE1-436C-893A-6ECE4EAAF457}"/>
    <cellStyle name="Style1" xfId="328" xr:uid="{4E75FC1C-C710-4DB1-BD97-229A24C919E1}"/>
    <cellStyle name="Style1 2" xfId="502" xr:uid="{07CBA788-B0C9-4FD6-B8BD-554716C244E7}"/>
    <cellStyle name="Style2" xfId="329" xr:uid="{854C4DA9-0B33-48A1-B970-323388B5E351}"/>
    <cellStyle name="Style3" xfId="330" xr:uid="{C2B75DAD-4EED-41FF-BFD6-D7297F8CD0B6}"/>
    <cellStyle name="Style4" xfId="331" xr:uid="{D0450A4F-A0EE-4F1C-A130-7B6A767A7B06}"/>
    <cellStyle name="Style5" xfId="332" xr:uid="{91565452-162A-4E51-9929-8109D848237B}"/>
    <cellStyle name="Style6" xfId="333" xr:uid="{D225FBCC-28D4-422E-823A-AEDADF0BB338}"/>
    <cellStyle name="Summary calc" xfId="45" xr:uid="{4C5EE935-F115-4FAC-86E7-BECC0213168E}"/>
    <cellStyle name="Summary calc total" xfId="46" xr:uid="{69C5999F-E4C9-43A7-9B50-2B7554C83203}"/>
    <cellStyle name="Table Footnote" xfId="334" xr:uid="{3604A6B0-533C-4B68-8DD5-10C5DE20C6F9}"/>
    <cellStyle name="Table Footnote 2" xfId="335" xr:uid="{83D5E527-D0B9-4DE4-B5BF-54F82DFC4C73}"/>
    <cellStyle name="Table Footnote 2 2" xfId="336" xr:uid="{E38C89DD-A2D1-4D67-BD23-9163BBFD785E}"/>
    <cellStyle name="Table Footnote_Table 5.6 sales of assets 23Feb2010" xfId="337" xr:uid="{E0F1D9DF-9725-46A8-BD75-DCC01DFCBB47}"/>
    <cellStyle name="Table Header" xfId="338" xr:uid="{9A8B8FD2-D7F5-4872-8FDA-F1DFCA3A342B}"/>
    <cellStyle name="Table Header 2" xfId="339" xr:uid="{C694AA6B-675B-4C07-9069-012D953A7FF1}"/>
    <cellStyle name="Table Header 2 2" xfId="340" xr:uid="{14AC76B0-5E87-466B-BEEA-215256D738CC}"/>
    <cellStyle name="Table Header_Table 5.6 sales of assets 23Feb2010" xfId="341" xr:uid="{C4886E8A-A43D-4D46-8E5A-90A302A22B80}"/>
    <cellStyle name="Table Heading 1" xfId="342" xr:uid="{1DEBB36E-E9BC-435F-9C86-7111D9137AA3}"/>
    <cellStyle name="Table Heading 1 2" xfId="343" xr:uid="{5778BEAA-F477-477C-B84B-AF921AF34991}"/>
    <cellStyle name="Table Heading 1 2 2" xfId="344" xr:uid="{2596A0DF-4C47-487B-89EC-5399ACE0DDC5}"/>
    <cellStyle name="Table Heading 1_Table 5.6 sales of assets 23Feb2010" xfId="345" xr:uid="{AD3137D9-3208-4D09-B38A-09F5A9689701}"/>
    <cellStyle name="Table Heading 2" xfId="346" xr:uid="{4D6D35BF-A1E4-4B21-A8D4-B863322E2EBE}"/>
    <cellStyle name="Table Heading 2 2" xfId="347" xr:uid="{1DED6DEC-EFE8-4EC8-B310-D41B8173E9ED}"/>
    <cellStyle name="Table Heading 2_Table 5.6 sales of assets 23Feb2010" xfId="348" xr:uid="{CA4ACA6A-0867-466F-A233-6FA07C0BF7F9}"/>
    <cellStyle name="Table Of Which" xfId="349" xr:uid="{90371088-AA11-4C7A-AB85-7E1C0972ED43}"/>
    <cellStyle name="Table Of Which 2" xfId="350" xr:uid="{D671CA0C-CD5B-4412-98D7-D53A4FDCA0E3}"/>
    <cellStyle name="Table Of Which_Table 5.6 sales of assets 23Feb2010" xfId="351" xr:uid="{2D8550B6-54F1-4398-8A25-01EDB76F98F5}"/>
    <cellStyle name="Table Row Billions" xfId="352" xr:uid="{5C427EB6-9AE9-49BB-B709-ED8A5ED54BB9}"/>
    <cellStyle name="Table Row Billions 2" xfId="353" xr:uid="{E60C0D65-22D8-4DB3-A40C-D34463E3ACE0}"/>
    <cellStyle name="Table Row Billions Check" xfId="354" xr:uid="{7D19162F-0756-46ED-B05F-BEE9B0F18308}"/>
    <cellStyle name="Table Row Billions Check 2" xfId="355" xr:uid="{102E144C-66E9-41E0-999F-8AD5A2907FE3}"/>
    <cellStyle name="Table Row Billions Check 3" xfId="356" xr:uid="{C12DC792-5845-4DE8-A429-658202E78035}"/>
    <cellStyle name="Table Row Billions Check_asset sales" xfId="357" xr:uid="{D2CCBA38-10CD-4271-A1FA-3C1F951ECD5E}"/>
    <cellStyle name="Table Row Billions_Table 5.6 sales of assets 23Feb2010" xfId="358" xr:uid="{07DCA023-530D-4C8D-8C6F-218E247E419C}"/>
    <cellStyle name="Table Row Millions" xfId="359" xr:uid="{1B92851A-3C0A-4C9F-955B-FDFCBBFCFE5E}"/>
    <cellStyle name="Table Row Millions 2" xfId="360" xr:uid="{732F3723-B85F-42EE-A438-2EBFAFB54F46}"/>
    <cellStyle name="Table Row Millions 2 2" xfId="361" xr:uid="{5D50E8C3-A9DC-4A81-921E-40C46F180A69}"/>
    <cellStyle name="Table Row Millions Check" xfId="362" xr:uid="{6B1374BF-AC6C-46EE-BA77-07E8D8962D33}"/>
    <cellStyle name="Table Row Millions Check 2" xfId="363" xr:uid="{7CE76EEA-2519-4AA0-B5C6-4A99EF701FE2}"/>
    <cellStyle name="Table Row Millions Check 3" xfId="364" xr:uid="{1FF702E1-A493-4B9A-8D25-3DBA043C5107}"/>
    <cellStyle name="Table Row Millions Check 4" xfId="365" xr:uid="{969945BF-87CC-425A-9A3A-B588306BB9FF}"/>
    <cellStyle name="Table Row Millions Check_asset sales" xfId="366" xr:uid="{6B640AB6-F1F8-4DBC-8CB2-E3E217713377}"/>
    <cellStyle name="Table Row Millions_Table 5.6 sales of assets 23Feb2010" xfId="367" xr:uid="{FFC56B15-6CBA-44DB-96C5-A56785AFF141}"/>
    <cellStyle name="Table Row Percentage" xfId="368" xr:uid="{8B320A82-9DED-4FC2-9224-72131CAB3169}"/>
    <cellStyle name="Table Row Percentage 2" xfId="369" xr:uid="{79974063-DF36-44AE-9458-C82280119100}"/>
    <cellStyle name="Table Row Percentage Check" xfId="370" xr:uid="{8CDDC033-1C5F-46E7-BACE-F3C6F2D9EC65}"/>
    <cellStyle name="Table Row Percentage Check 2" xfId="371" xr:uid="{0FE33183-B1EC-4BF0-B633-48AD292A32F7}"/>
    <cellStyle name="Table Row Percentage Check 3" xfId="372" xr:uid="{F12DCEC6-5885-46A4-B313-6A1ADAA59733}"/>
    <cellStyle name="Table Row Percentage Check_asset sales" xfId="373" xr:uid="{3B7F4B8A-5429-4F54-938E-2301CB92C056}"/>
    <cellStyle name="Table Row Percentage_Table 5.6 sales of assets 23Feb2010" xfId="374" xr:uid="{0D67E650-0490-41C3-9FDC-10AEAB46857A}"/>
    <cellStyle name="Table Total Billions" xfId="375" xr:uid="{7DC86AB5-9734-4395-8F2B-C0082406AF67}"/>
    <cellStyle name="Table Total Billions 2" xfId="376" xr:uid="{B369E51C-F23F-468C-AE13-A4BE9B6C4796}"/>
    <cellStyle name="Table Total Billions 2 2" xfId="504" xr:uid="{1E40224A-0E45-4A7E-99F3-959FF0903CE8}"/>
    <cellStyle name="Table Total Billions 2 3" xfId="605" xr:uid="{BCCFF539-0AAC-4F18-9EDD-AE575BF8DDD8}"/>
    <cellStyle name="Table Total Billions 2 4" xfId="727" xr:uid="{2E2E7451-4313-4FB3-97B3-E23F1DF08309}"/>
    <cellStyle name="Table Total Billions 3" xfId="503" xr:uid="{79053D36-40C6-45C9-99E8-781635B5ABC7}"/>
    <cellStyle name="Table Total Billions 4" xfId="604" xr:uid="{A1477CB5-BBA3-470B-BDF7-72C2482E0C20}"/>
    <cellStyle name="Table Total Billions 5" xfId="726" xr:uid="{21F0AF3F-D99F-4620-BE76-68BB8AD4A580}"/>
    <cellStyle name="Table Total Billions_Table 5.6 sales of assets 23Feb2010" xfId="377" xr:uid="{DFA15DFA-CE27-486E-A372-E1E5866AD461}"/>
    <cellStyle name="Table Total Millions" xfId="378" xr:uid="{54432E6C-87A2-4A4C-8EB3-85663431255E}"/>
    <cellStyle name="Table Total Millions 2" xfId="379" xr:uid="{6F4D6BD1-32C7-42CA-898F-69A9BE49465B}"/>
    <cellStyle name="Table Total Millions 2 2" xfId="380" xr:uid="{F075AC01-1B11-4168-96BD-CB759B3A18A2}"/>
    <cellStyle name="Table Total Millions 2 2 2" xfId="507" xr:uid="{CF20E81A-D81C-46D6-ADFD-62D24B6267ED}"/>
    <cellStyle name="Table Total Millions 2 2 3" xfId="608" xr:uid="{96971F8F-922B-4811-9DC1-12C701430A38}"/>
    <cellStyle name="Table Total Millions 2 2 4" xfId="730" xr:uid="{C9E3EE67-05AB-4D81-AC25-3779F6234A89}"/>
    <cellStyle name="Table Total Millions 2 3" xfId="506" xr:uid="{E7D9FE32-FCF4-491F-9E26-B5C911B1EA8D}"/>
    <cellStyle name="Table Total Millions 2 4" xfId="607" xr:uid="{FE67DD0C-19C2-4FF8-BFE3-F5F56B6D0DE7}"/>
    <cellStyle name="Table Total Millions 2 5" xfId="729" xr:uid="{62484DAA-D38E-45AC-A8D4-4A4581BC72D6}"/>
    <cellStyle name="Table Total Millions 3" xfId="505" xr:uid="{81A39354-C108-4CF9-883E-808DF726B2E6}"/>
    <cellStyle name="Table Total Millions 4" xfId="606" xr:uid="{8E976810-B83C-4946-B7F6-B2E598D1D1D8}"/>
    <cellStyle name="Table Total Millions 5" xfId="728" xr:uid="{58B5DFC4-4146-4150-A99C-FE8E485054C1}"/>
    <cellStyle name="Table Total Millions_Table 5.6 sales of assets 23Feb2010" xfId="381" xr:uid="{C100AE8F-4182-4F4E-BFA8-4A1B4E56A23A}"/>
    <cellStyle name="Table Total Percentage" xfId="382" xr:uid="{BE76C3A8-A7CA-4E72-B190-27432D3CACCF}"/>
    <cellStyle name="Table Total Percentage 2" xfId="383" xr:uid="{37AB07F4-76FE-477A-90FF-A4AF7271B127}"/>
    <cellStyle name="Table Total Percentage 2 2" xfId="509" xr:uid="{28F6DCC2-1F36-40C9-8832-E3562DACC014}"/>
    <cellStyle name="Table Total Percentage 2 3" xfId="610" xr:uid="{157D521F-98EC-42B2-B031-3C8B5F0226DF}"/>
    <cellStyle name="Table Total Percentage 2 4" xfId="732" xr:uid="{40EBB74A-E2C1-448E-AE92-982C57037CF2}"/>
    <cellStyle name="Table Total Percentage 3" xfId="508" xr:uid="{48507E59-9A0C-4C63-9354-5C0175BF0CC2}"/>
    <cellStyle name="Table Total Percentage 4" xfId="609" xr:uid="{2BF18618-A23D-4F10-B8C5-46D28D1A0DE6}"/>
    <cellStyle name="Table Total Percentage 5" xfId="731" xr:uid="{2A8931B9-C427-4694-815F-EDA0A8766AC6}"/>
    <cellStyle name="Table Total Percentage_Table 5.6 sales of assets 23Feb2010" xfId="384" xr:uid="{CCAF3170-6B28-4958-8D84-BB9AF5157331}"/>
    <cellStyle name="Table Units" xfId="385" xr:uid="{99BB3D23-3577-4A97-A3C6-B9D98AF43016}"/>
    <cellStyle name="Table Units 2" xfId="386" xr:uid="{BCD78C08-F841-4D1F-89D2-ADE2B52DB215}"/>
    <cellStyle name="Table Units 2 2" xfId="387" xr:uid="{6230A64C-92B0-4DF7-9A6F-D86887BE81E0}"/>
    <cellStyle name="Table Units_Table 5.6 sales of assets 23Feb2010" xfId="388" xr:uid="{7ADB72F9-CA71-4251-ACC7-5603B6A4C266}"/>
    <cellStyle name="Times New Roman" xfId="389" xr:uid="{F382BFDD-6EB9-4F88-8A10-1B1448D22A2E}"/>
    <cellStyle name="Title 2" xfId="390" xr:uid="{388163C5-5199-4687-A30A-D7BE098F5A72}"/>
    <cellStyle name="Title 3" xfId="391" xr:uid="{AEF1CD4F-DCAF-4230-B7D0-E71019E09D86}"/>
    <cellStyle name="Title 4" xfId="392" xr:uid="{122A41D8-A339-41ED-A3D7-CF826376FA8A}"/>
    <cellStyle name="Total 2" xfId="393" xr:uid="{088DD08C-782A-47E9-B24B-006D3194F7E2}"/>
    <cellStyle name="Total 2 2" xfId="510" xr:uid="{45DC2243-CFA0-4C57-8FFF-539E67B135DB}"/>
    <cellStyle name="Total 2 3" xfId="611" xr:uid="{3F0EB470-0F90-4AD7-8F26-89A61F590726}"/>
    <cellStyle name="Total 2 4" xfId="701" xr:uid="{8E1AF96B-43D1-49BC-9C23-305893481B59}"/>
    <cellStyle name="Unhighlight" xfId="2" xr:uid="{AF1659A6-805D-40CB-BFC4-76ADD3BEF9E4}"/>
    <cellStyle name="Unhighlight 2" xfId="72" xr:uid="{D167748F-DFC3-44A2-9D9B-30F4961BDD61}"/>
    <cellStyle name="Warning Text 2" xfId="394" xr:uid="{8F948924-EF67-4E1C-8974-7A30AFAFB4A2}"/>
    <cellStyle name="whole number" xfId="395" xr:uid="{D08CC7CA-A658-43C5-A32B-BD41DB6E2F8F}"/>
  </cellStyles>
  <dxfs count="18">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s>
  <tableStyles count="0" defaultTableStyle="TableStyleMedium2" defaultPivotStyle="PivotStyleLight16"/>
  <colors>
    <mruColors>
      <color rgb="FFA5A5A5"/>
      <color rgb="FFFFC000"/>
      <color rgb="FF255E91"/>
      <color rgb="FF436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422274</xdr:colOff>
      <xdr:row>2</xdr:row>
      <xdr:rowOff>15741</xdr:rowOff>
    </xdr:to>
    <xdr:pic>
      <xdr:nvPicPr>
        <xdr:cNvPr id="2" name="Picture 1">
          <a:extLst>
            <a:ext uri="{FF2B5EF4-FFF2-40B4-BE49-F238E27FC236}">
              <a16:creationId xmlns:a16="http://schemas.microsoft.com/office/drawing/2014/main" id="{071D2CDD-DC85-4263-98BB-A42FFBCA3218}"/>
            </a:ext>
          </a:extLst>
        </xdr:cNvPr>
        <xdr:cNvPicPr>
          <a:picLocks noChangeAspect="1"/>
        </xdr:cNvPicPr>
      </xdr:nvPicPr>
      <xdr:blipFill>
        <a:blip xmlns:r="http://schemas.openxmlformats.org/officeDocument/2006/relationships" r:embed="rId1"/>
        <a:stretch>
          <a:fillRect/>
        </a:stretch>
      </xdr:blipFill>
      <xdr:spPr>
        <a:xfrm>
          <a:off x="0" y="0"/>
          <a:ext cx="2346324" cy="990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2174874</xdr:colOff>
      <xdr:row>2</xdr:row>
      <xdr:rowOff>18916</xdr:rowOff>
    </xdr:to>
    <xdr:pic>
      <xdr:nvPicPr>
        <xdr:cNvPr id="2" name="Picture 1">
          <a:extLst>
            <a:ext uri="{FF2B5EF4-FFF2-40B4-BE49-F238E27FC236}">
              <a16:creationId xmlns:a16="http://schemas.microsoft.com/office/drawing/2014/main" id="{5E0C6021-F823-4A2C-864F-55B21B72B4FD}"/>
            </a:ext>
          </a:extLst>
        </xdr:cNvPr>
        <xdr:cNvPicPr>
          <a:picLocks noChangeAspect="1"/>
        </xdr:cNvPicPr>
      </xdr:nvPicPr>
      <xdr:blipFill>
        <a:blip xmlns:r="http://schemas.openxmlformats.org/officeDocument/2006/relationships" r:embed="rId1"/>
        <a:stretch>
          <a:fillRect/>
        </a:stretch>
      </xdr:blipFill>
      <xdr:spPr>
        <a:xfrm>
          <a:off x="0" y="0"/>
          <a:ext cx="2346324" cy="990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52099</xdr:colOff>
      <xdr:row>2</xdr:row>
      <xdr:rowOff>57726</xdr:rowOff>
    </xdr:from>
    <xdr:to>
      <xdr:col>17</xdr:col>
      <xdr:colOff>432955</xdr:colOff>
      <xdr:row>39</xdr:row>
      <xdr:rowOff>86690</xdr:rowOff>
    </xdr:to>
    <xdr:pic>
      <xdr:nvPicPr>
        <xdr:cNvPr id="2" name="Picture 1">
          <a:extLst>
            <a:ext uri="{FF2B5EF4-FFF2-40B4-BE49-F238E27FC236}">
              <a16:creationId xmlns:a16="http://schemas.microsoft.com/office/drawing/2014/main" id="{4359B597-4206-40D2-A06C-75B7F2D6D5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122" y="663862"/>
          <a:ext cx="11172248" cy="7237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C395-1BC8-46AE-BA28-DBDF02B5202A}">
  <sheetPr codeName="Preamble1">
    <outlinePr summaryBelow="0"/>
    <pageSetUpPr autoPageBreaks="0"/>
  </sheetPr>
  <dimension ref="A1:E31"/>
  <sheetViews>
    <sheetView showGridLines="0" tabSelected="1" defaultGridColor="0" colorId="22" zoomScaleNormal="95" zoomScaleSheetLayoutView="75" workbookViewId="0">
      <pane ySplit="1" topLeftCell="A2" activePane="bottomLeft" state="frozen"/>
      <selection pane="bottomLeft" activeCell="B11" sqref="B11"/>
    </sheetView>
  </sheetViews>
  <sheetFormatPr defaultColWidth="12.54296875" defaultRowHeight="14.5" x14ac:dyDescent="0.35"/>
  <cols>
    <col min="1" max="1" width="28.81640625" style="445" customWidth="1"/>
    <col min="2" max="3" width="79.1796875" style="445" customWidth="1"/>
    <col min="4" max="4" width="14.453125" style="445" customWidth="1"/>
    <col min="5" max="5" width="15" style="445" customWidth="1"/>
    <col min="6" max="16384" width="12.54296875" style="445"/>
  </cols>
  <sheetData>
    <row r="1" spans="1:4" ht="69.75" customHeight="1" x14ac:dyDescent="0.7">
      <c r="C1" s="453" t="str">
        <f>Workbook.Title</f>
        <v>PIA Charges Model</v>
      </c>
    </row>
    <row r="2" spans="1:4" ht="7.5" customHeight="1" x14ac:dyDescent="0.35"/>
    <row r="3" spans="1:4" ht="21" x14ac:dyDescent="0.5">
      <c r="A3" s="446" t="s">
        <v>394</v>
      </c>
      <c r="D3" s="447"/>
    </row>
    <row r="4" spans="1:4" ht="6" customHeight="1" x14ac:dyDescent="0.35"/>
    <row r="5" spans="1:4" x14ac:dyDescent="0.35">
      <c r="A5" s="445" t="s">
        <v>395</v>
      </c>
      <c r="B5" s="445" t="s">
        <v>405</v>
      </c>
    </row>
    <row r="6" spans="1:4" x14ac:dyDescent="0.35">
      <c r="A6" s="445" t="s">
        <v>396</v>
      </c>
      <c r="B6" s="445" t="s">
        <v>406</v>
      </c>
      <c r="D6" s="448"/>
    </row>
    <row r="8" spans="1:4" x14ac:dyDescent="0.35">
      <c r="A8" s="445" t="s">
        <v>397</v>
      </c>
      <c r="B8" s="445" t="s">
        <v>398</v>
      </c>
    </row>
    <row r="10" spans="1:4" ht="21" x14ac:dyDescent="0.5">
      <c r="A10" s="446" t="s">
        <v>399</v>
      </c>
    </row>
    <row r="12" spans="1:4" ht="18.5" x14ac:dyDescent="0.45">
      <c r="A12" s="449" t="s">
        <v>400</v>
      </c>
      <c r="B12" s="449" t="s">
        <v>401</v>
      </c>
      <c r="C12" s="450"/>
    </row>
    <row r="13" spans="1:4" x14ac:dyDescent="0.35">
      <c r="A13" s="445" t="s">
        <v>399</v>
      </c>
      <c r="B13" s="445" t="s">
        <v>402</v>
      </c>
    </row>
    <row r="14" spans="1:4" x14ac:dyDescent="0.35">
      <c r="A14" s="445" t="s">
        <v>120</v>
      </c>
      <c r="B14" s="445" t="s">
        <v>415</v>
      </c>
    </row>
    <row r="15" spans="1:4" ht="5.25" customHeight="1" x14ac:dyDescent="0.35"/>
    <row r="16" spans="1:4" x14ac:dyDescent="0.35">
      <c r="A16" s="451" t="s">
        <v>403</v>
      </c>
      <c r="B16" s="451"/>
    </row>
    <row r="17" spans="1:5" x14ac:dyDescent="0.35">
      <c r="A17" s="445" t="s">
        <v>225</v>
      </c>
      <c r="B17" s="445" t="s">
        <v>430</v>
      </c>
    </row>
    <row r="18" spans="1:5" x14ac:dyDescent="0.35">
      <c r="A18" s="445" t="s">
        <v>119</v>
      </c>
      <c r="B18" s="445" t="s">
        <v>416</v>
      </c>
    </row>
    <row r="19" spans="1:5" x14ac:dyDescent="0.35">
      <c r="A19" s="445" t="s">
        <v>407</v>
      </c>
      <c r="B19" s="445" t="s">
        <v>417</v>
      </c>
    </row>
    <row r="20" spans="1:5" x14ac:dyDescent="0.35">
      <c r="A20" s="445" t="s">
        <v>408</v>
      </c>
      <c r="B20" s="445" t="s">
        <v>418</v>
      </c>
    </row>
    <row r="21" spans="1:5" x14ac:dyDescent="0.35">
      <c r="A21" s="445" t="s">
        <v>67</v>
      </c>
      <c r="B21" s="445" t="s">
        <v>419</v>
      </c>
    </row>
    <row r="22" spans="1:5" x14ac:dyDescent="0.35">
      <c r="A22" s="445" t="s">
        <v>409</v>
      </c>
      <c r="B22" s="445" t="s">
        <v>423</v>
      </c>
    </row>
    <row r="23" spans="1:5" x14ac:dyDescent="0.35">
      <c r="A23" s="445" t="s">
        <v>410</v>
      </c>
      <c r="B23" s="445" t="s">
        <v>420</v>
      </c>
    </row>
    <row r="24" spans="1:5" x14ac:dyDescent="0.35">
      <c r="A24" s="445" t="s">
        <v>123</v>
      </c>
      <c r="B24" s="445" t="s">
        <v>421</v>
      </c>
    </row>
    <row r="25" spans="1:5" x14ac:dyDescent="0.35">
      <c r="A25" s="445" t="s">
        <v>411</v>
      </c>
      <c r="B25" s="445" t="s">
        <v>422</v>
      </c>
    </row>
    <row r="26" spans="1:5" x14ac:dyDescent="0.35">
      <c r="A26" s="445" t="s">
        <v>412</v>
      </c>
      <c r="B26" s="445" t="s">
        <v>424</v>
      </c>
    </row>
    <row r="27" spans="1:5" x14ac:dyDescent="0.35">
      <c r="A27" s="445" t="s">
        <v>413</v>
      </c>
      <c r="B27" s="445" t="s">
        <v>425</v>
      </c>
    </row>
    <row r="28" spans="1:5" x14ac:dyDescent="0.35">
      <c r="A28" s="445" t="s">
        <v>414</v>
      </c>
      <c r="B28" s="445" t="s">
        <v>426</v>
      </c>
    </row>
    <row r="30" spans="1:5" ht="21" x14ac:dyDescent="0.35">
      <c r="A30" s="452" t="s">
        <v>404</v>
      </c>
    </row>
    <row r="31" spans="1:5" ht="236.25" customHeight="1" x14ac:dyDescent="0.35">
      <c r="A31" s="471" t="s">
        <v>427</v>
      </c>
      <c r="B31" s="471"/>
      <c r="C31" s="471"/>
      <c r="D31" s="471"/>
      <c r="E31" s="471"/>
    </row>
  </sheetData>
  <mergeCells count="1">
    <mergeCell ref="A31:E31"/>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94DA-E21F-44E8-847E-08730C7FF402}">
  <sheetPr codeName="Sheet1">
    <outlinePr summaryBelow="0"/>
    <pageSetUpPr autoPageBreaks="0" fitToPage="1"/>
  </sheetPr>
  <dimension ref="A1:K46"/>
  <sheetViews>
    <sheetView defaultGridColor="0" colorId="22" zoomScaleNormal="100" workbookViewId="0">
      <pane ySplit="2" topLeftCell="A3" activePane="bottomLeft" state="frozen"/>
      <selection pane="bottomLeft" activeCell="C9" sqref="C9"/>
    </sheetView>
  </sheetViews>
  <sheetFormatPr defaultColWidth="12.54296875" defaultRowHeight="14.5" x14ac:dyDescent="0.35"/>
  <cols>
    <col min="1" max="1" width="2.54296875" style="310" customWidth="1"/>
    <col min="2" max="2" width="42.7265625" style="310" customWidth="1"/>
    <col min="3" max="6" width="12.54296875" style="310"/>
    <col min="7" max="7" width="7" style="310" customWidth="1"/>
    <col min="8" max="16384" width="12.54296875" style="310"/>
  </cols>
  <sheetData>
    <row r="1" spans="1:8" ht="12" customHeight="1" x14ac:dyDescent="0.6">
      <c r="C1" s="311"/>
    </row>
    <row r="2" spans="1:8" ht="64.5" customHeight="1" x14ac:dyDescent="0.7">
      <c r="H2" s="312" t="s">
        <v>120</v>
      </c>
    </row>
    <row r="4" spans="1:8" ht="18.5" x14ac:dyDescent="0.35">
      <c r="A4" s="314" t="s">
        <v>224</v>
      </c>
    </row>
    <row r="5" spans="1:8" ht="8.25" customHeight="1" x14ac:dyDescent="0.35"/>
    <row r="6" spans="1:8" ht="6.75" customHeight="1" x14ac:dyDescent="0.35">
      <c r="A6" s="315"/>
    </row>
    <row r="7" spans="1:8" x14ac:dyDescent="0.35">
      <c r="B7" s="316" t="s">
        <v>225</v>
      </c>
      <c r="C7" s="317">
        <v>100</v>
      </c>
      <c r="E7" s="310" t="s">
        <v>226</v>
      </c>
    </row>
    <row r="8" spans="1:8" x14ac:dyDescent="0.35">
      <c r="B8" s="316"/>
      <c r="C8" s="318"/>
    </row>
    <row r="9" spans="1:8" ht="15" customHeight="1" x14ac:dyDescent="0.35">
      <c r="B9" s="316" t="s">
        <v>227</v>
      </c>
      <c r="C9" s="319">
        <v>100</v>
      </c>
      <c r="E9" s="310" t="s">
        <v>228</v>
      </c>
    </row>
    <row r="10" spans="1:8" x14ac:dyDescent="0.35">
      <c r="B10" s="316"/>
      <c r="C10" s="318"/>
    </row>
    <row r="11" spans="1:8" x14ac:dyDescent="0.35">
      <c r="B11" s="316" t="s">
        <v>229</v>
      </c>
      <c r="C11" s="320">
        <v>100</v>
      </c>
      <c r="E11" s="310" t="s">
        <v>230</v>
      </c>
    </row>
    <row r="12" spans="1:8" x14ac:dyDescent="0.35">
      <c r="B12" s="316"/>
      <c r="C12" s="318"/>
    </row>
    <row r="13" spans="1:8" x14ac:dyDescent="0.35">
      <c r="B13" s="316" t="s">
        <v>231</v>
      </c>
      <c r="C13" s="321">
        <v>100</v>
      </c>
      <c r="E13" s="310" t="s">
        <v>232</v>
      </c>
    </row>
    <row r="14" spans="1:8" ht="15" thickBot="1" x14ac:dyDescent="0.4">
      <c r="B14" s="316"/>
      <c r="C14" s="318"/>
    </row>
    <row r="15" spans="1:8" ht="15" thickBot="1" x14ac:dyDescent="0.4">
      <c r="B15" s="316" t="s">
        <v>428</v>
      </c>
      <c r="C15" s="322">
        <v>100</v>
      </c>
      <c r="E15" s="310" t="s">
        <v>429</v>
      </c>
    </row>
    <row r="16" spans="1:8" ht="15" thickBot="1" x14ac:dyDescent="0.4">
      <c r="B16" s="316"/>
      <c r="C16" s="318"/>
    </row>
    <row r="17" spans="2:11" ht="15" thickBot="1" x14ac:dyDescent="0.4">
      <c r="B17" s="316" t="s">
        <v>233</v>
      </c>
      <c r="C17" s="323">
        <v>100</v>
      </c>
      <c r="E17" s="310" t="s">
        <v>234</v>
      </c>
    </row>
    <row r="18" spans="2:11" x14ac:dyDescent="0.35">
      <c r="B18" s="316"/>
      <c r="C18" s="318"/>
    </row>
    <row r="19" spans="2:11" x14ac:dyDescent="0.35">
      <c r="B19" s="310" t="s">
        <v>235</v>
      </c>
      <c r="C19" s="324">
        <v>100</v>
      </c>
      <c r="E19" s="310" t="s">
        <v>236</v>
      </c>
    </row>
    <row r="21" spans="2:11" x14ac:dyDescent="0.35">
      <c r="B21" s="310" t="s">
        <v>237</v>
      </c>
      <c r="C21" s="325"/>
      <c r="E21" s="310" t="s">
        <v>238</v>
      </c>
    </row>
    <row r="23" spans="2:11" x14ac:dyDescent="0.35">
      <c r="B23" s="310" t="s">
        <v>121</v>
      </c>
      <c r="C23" s="326">
        <v>100</v>
      </c>
      <c r="E23" s="310" t="s">
        <v>239</v>
      </c>
    </row>
    <row r="24" spans="2:11" x14ac:dyDescent="0.35">
      <c r="B24" s="316"/>
      <c r="C24" s="318"/>
    </row>
    <row r="25" spans="2:11" x14ac:dyDescent="0.35">
      <c r="B25" s="310" t="s">
        <v>240</v>
      </c>
      <c r="C25" s="327">
        <v>100</v>
      </c>
      <c r="E25" s="310" t="s">
        <v>241</v>
      </c>
    </row>
    <row r="27" spans="2:11" x14ac:dyDescent="0.35">
      <c r="B27" s="310" t="s">
        <v>242</v>
      </c>
      <c r="C27" s="328">
        <v>100</v>
      </c>
      <c r="E27" s="310" t="s">
        <v>243</v>
      </c>
    </row>
    <row r="29" spans="2:11" x14ac:dyDescent="0.35">
      <c r="B29" s="310" t="s">
        <v>244</v>
      </c>
      <c r="C29" s="329" t="b">
        <v>1</v>
      </c>
      <c r="E29" s="310" t="s">
        <v>245</v>
      </c>
      <c r="F29" s="330"/>
      <c r="G29" s="330"/>
      <c r="H29" s="330"/>
      <c r="I29" s="330"/>
      <c r="J29" s="330"/>
      <c r="K29" s="330"/>
    </row>
    <row r="30" spans="2:11" x14ac:dyDescent="0.35">
      <c r="B30" s="310" t="s">
        <v>246</v>
      </c>
      <c r="C30" s="331" t="b">
        <v>0</v>
      </c>
      <c r="F30" s="330"/>
      <c r="G30" s="330"/>
      <c r="H30" s="330"/>
      <c r="I30" s="330"/>
      <c r="J30" s="330"/>
      <c r="K30" s="330"/>
    </row>
    <row r="32" spans="2:11" x14ac:dyDescent="0.35">
      <c r="B32" s="310" t="s">
        <v>247</v>
      </c>
      <c r="C32" s="313" t="s">
        <v>248</v>
      </c>
      <c r="E32" s="310" t="s">
        <v>249</v>
      </c>
    </row>
    <row r="34" spans="2:5" x14ac:dyDescent="0.35">
      <c r="B34" s="310" t="s">
        <v>250</v>
      </c>
      <c r="C34" s="332"/>
      <c r="E34" s="310" t="s">
        <v>251</v>
      </c>
    </row>
    <row r="35" spans="2:5" x14ac:dyDescent="0.35">
      <c r="C35" s="333"/>
    </row>
    <row r="36" spans="2:5" x14ac:dyDescent="0.35">
      <c r="B36" s="310" t="s">
        <v>252</v>
      </c>
      <c r="C36" s="334" t="s">
        <v>253</v>
      </c>
      <c r="E36" s="310" t="s">
        <v>254</v>
      </c>
    </row>
    <row r="38" spans="2:5" x14ac:dyDescent="0.35">
      <c r="B38" s="335" t="s">
        <v>255</v>
      </c>
      <c r="C38" s="318"/>
      <c r="E38" s="310" t="s">
        <v>256</v>
      </c>
    </row>
    <row r="39" spans="2:5" x14ac:dyDescent="0.35">
      <c r="B39" s="316"/>
      <c r="C39" s="318"/>
    </row>
    <row r="40" spans="2:5" ht="31" x14ac:dyDescent="0.35">
      <c r="B40" s="336" t="s">
        <v>257</v>
      </c>
      <c r="C40" s="336" t="s">
        <v>258</v>
      </c>
      <c r="E40" s="310" t="s">
        <v>259</v>
      </c>
    </row>
    <row r="42" spans="2:5" ht="21" x14ac:dyDescent="0.35">
      <c r="B42" s="337" t="s">
        <v>260</v>
      </c>
      <c r="C42" s="337" t="s">
        <v>258</v>
      </c>
      <c r="E42" s="310" t="s">
        <v>261</v>
      </c>
    </row>
    <row r="44" spans="2:5" ht="18.5" x14ac:dyDescent="0.35">
      <c r="B44" s="314" t="s">
        <v>262</v>
      </c>
      <c r="C44" s="314" t="s">
        <v>258</v>
      </c>
      <c r="E44" s="310" t="s">
        <v>263</v>
      </c>
    </row>
    <row r="46" spans="2:5" x14ac:dyDescent="0.35">
      <c r="B46" s="338" t="s">
        <v>264</v>
      </c>
      <c r="C46" s="338" t="s">
        <v>258</v>
      </c>
      <c r="E46" s="310" t="s">
        <v>265</v>
      </c>
    </row>
  </sheetData>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&amp;L&amp;A :page&amp;P&amp;COfcom Confidential&amp;R&amp;D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A9D4-F9CA-4B58-8170-00C102DEFCE7}">
  <sheetPr codeName="Sheet2">
    <tabColor rgb="FFFF0000"/>
  </sheetPr>
  <dimension ref="A1:A2"/>
  <sheetViews>
    <sheetView zoomScale="88" zoomScaleNormal="88" workbookViewId="0">
      <selection activeCell="V31" sqref="V31"/>
    </sheetView>
  </sheetViews>
  <sheetFormatPr defaultColWidth="9" defaultRowHeight="14.5" x14ac:dyDescent="0.35"/>
  <cols>
    <col min="1" max="10" width="11" style="8" customWidth="1"/>
    <col min="11" max="16384" width="9" style="8"/>
  </cols>
  <sheetData>
    <row r="1" spans="1:1" ht="26" x14ac:dyDescent="0.6">
      <c r="A1" s="114" t="s">
        <v>185</v>
      </c>
    </row>
    <row r="2" spans="1:1" ht="21" x14ac:dyDescent="0.5">
      <c r="A2" s="19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13B6-6284-4D21-8045-D1CC56AEC4C5}">
  <sheetPr codeName="Sheet4">
    <tabColor rgb="FF7030A0"/>
  </sheetPr>
  <dimension ref="A1"/>
  <sheetViews>
    <sheetView workbookViewId="0">
      <selection activeCell="H49" sqref="H49"/>
    </sheetView>
  </sheetViews>
  <sheetFormatPr defaultRowHeight="14.5"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BCD4-597E-48A0-ACA7-9FCFF9D9B77D}">
  <sheetPr codeName="Sheet5"/>
  <dimension ref="A1:L197"/>
  <sheetViews>
    <sheetView zoomScaleNormal="100" workbookViewId="0">
      <selection activeCell="G21" sqref="G21"/>
    </sheetView>
  </sheetViews>
  <sheetFormatPr defaultColWidth="8.81640625" defaultRowHeight="14.5" x14ac:dyDescent="0.35"/>
  <cols>
    <col min="1" max="1" width="17.81640625" style="195" customWidth="1"/>
    <col min="2" max="2" width="18.7265625" style="195" customWidth="1"/>
    <col min="3" max="3" width="12.453125" style="195" customWidth="1"/>
    <col min="4" max="7" width="14.453125" style="195" customWidth="1"/>
    <col min="8" max="8" width="12.1796875" style="195" customWidth="1"/>
    <col min="9" max="10" width="10.54296875" style="195" customWidth="1"/>
    <col min="11" max="11" width="9.54296875" style="195" customWidth="1"/>
    <col min="12" max="16384" width="8.81640625" style="195"/>
  </cols>
  <sheetData>
    <row r="1" spans="1:11" ht="26" x14ac:dyDescent="0.6">
      <c r="A1" s="219" t="s">
        <v>363</v>
      </c>
    </row>
    <row r="2" spans="1:11" s="196" customFormat="1" ht="9" customHeight="1" x14ac:dyDescent="0.3"/>
    <row r="3" spans="1:11" ht="21" x14ac:dyDescent="0.35">
      <c r="A3" s="232" t="s">
        <v>118</v>
      </c>
    </row>
    <row r="4" spans="1:11" ht="26" x14ac:dyDescent="0.35">
      <c r="B4" s="207"/>
      <c r="D4" s="220" t="s">
        <v>310</v>
      </c>
      <c r="E4" s="220" t="s">
        <v>309</v>
      </c>
      <c r="F4" s="220" t="s">
        <v>291</v>
      </c>
      <c r="G4" s="220" t="s">
        <v>292</v>
      </c>
      <c r="H4" s="220" t="s">
        <v>293</v>
      </c>
      <c r="I4" s="220" t="s">
        <v>294</v>
      </c>
    </row>
    <row r="5" spans="1:11" x14ac:dyDescent="0.35">
      <c r="A5" s="221" t="s">
        <v>115</v>
      </c>
      <c r="B5" s="207"/>
      <c r="D5" s="207"/>
      <c r="E5" s="207"/>
      <c r="F5" s="207"/>
      <c r="G5" s="207"/>
      <c r="H5" s="207"/>
      <c r="I5" s="207"/>
      <c r="J5" s="207"/>
      <c r="K5" s="207"/>
    </row>
    <row r="6" spans="1:11" x14ac:dyDescent="0.35">
      <c r="A6" s="208" t="s">
        <v>364</v>
      </c>
      <c r="B6" s="196"/>
      <c r="D6" s="317">
        <v>9.3800000000000008</v>
      </c>
      <c r="E6" s="317">
        <v>9.5500000000000007</v>
      </c>
      <c r="F6" s="317">
        <v>9.94</v>
      </c>
      <c r="G6" s="317">
        <v>11.09</v>
      </c>
      <c r="H6" s="317">
        <v>11.64</v>
      </c>
      <c r="I6" s="317">
        <v>11.96</v>
      </c>
    </row>
    <row r="7" spans="1:11" x14ac:dyDescent="0.35">
      <c r="A7" s="208" t="s">
        <v>9</v>
      </c>
      <c r="B7" s="196"/>
      <c r="D7" s="317">
        <v>0.28999999999999998</v>
      </c>
      <c r="E7" s="317">
        <v>0.3</v>
      </c>
      <c r="F7" s="317">
        <v>0.31</v>
      </c>
      <c r="G7" s="317">
        <v>0.35</v>
      </c>
      <c r="H7" s="317">
        <v>0.37</v>
      </c>
      <c r="I7" s="317">
        <v>0.39</v>
      </c>
    </row>
    <row r="8" spans="1:11" x14ac:dyDescent="0.35">
      <c r="A8" s="208" t="s">
        <v>10</v>
      </c>
      <c r="B8" s="196"/>
      <c r="D8" s="317">
        <v>0.18</v>
      </c>
      <c r="E8" s="317">
        <v>0.19</v>
      </c>
      <c r="F8" s="317">
        <v>0.2</v>
      </c>
      <c r="G8" s="317">
        <v>0.24</v>
      </c>
      <c r="H8" s="317">
        <v>0.26</v>
      </c>
      <c r="I8" s="317">
        <v>0.28000000000000003</v>
      </c>
    </row>
    <row r="9" spans="1:11" x14ac:dyDescent="0.35">
      <c r="A9" s="208" t="s">
        <v>11</v>
      </c>
      <c r="B9" s="196"/>
      <c r="D9" s="317">
        <v>0.13</v>
      </c>
      <c r="E9" s="317">
        <v>0.14000000000000001</v>
      </c>
      <c r="F9" s="317">
        <v>0.14000000000000001</v>
      </c>
      <c r="G9" s="317">
        <v>0.16</v>
      </c>
      <c r="H9" s="317">
        <v>0.18</v>
      </c>
      <c r="I9" s="317">
        <v>0.19</v>
      </c>
    </row>
    <row r="10" spans="1:11" x14ac:dyDescent="0.35">
      <c r="A10" s="208" t="s">
        <v>12</v>
      </c>
      <c r="B10" s="196"/>
      <c r="D10" s="317">
        <v>2.08</v>
      </c>
      <c r="E10" s="317">
        <v>2.14</v>
      </c>
      <c r="F10" s="317">
        <v>2.2400000000000002</v>
      </c>
      <c r="G10" s="317">
        <v>2.5099999999999998</v>
      </c>
      <c r="H10" s="317">
        <v>2.65</v>
      </c>
      <c r="I10" s="317">
        <v>2.75</v>
      </c>
    </row>
    <row r="11" spans="1:11" x14ac:dyDescent="0.35">
      <c r="A11" s="208" t="s">
        <v>13</v>
      </c>
      <c r="B11" s="196"/>
      <c r="D11" s="317">
        <v>8.66</v>
      </c>
      <c r="E11" s="317">
        <v>9</v>
      </c>
      <c r="F11" s="317">
        <v>9.43</v>
      </c>
      <c r="G11" s="317">
        <v>10.63</v>
      </c>
      <c r="H11" s="317">
        <v>11.29</v>
      </c>
      <c r="I11" s="317">
        <v>11.73</v>
      </c>
    </row>
    <row r="12" spans="1:11" x14ac:dyDescent="0.35">
      <c r="A12" s="199" t="s">
        <v>14</v>
      </c>
      <c r="F12" s="241"/>
      <c r="G12" s="241"/>
      <c r="H12" s="241"/>
      <c r="I12" s="241"/>
    </row>
    <row r="13" spans="1:11" x14ac:dyDescent="0.35">
      <c r="A13" s="208" t="s">
        <v>365</v>
      </c>
      <c r="B13" s="196"/>
      <c r="D13" s="317">
        <v>11.56</v>
      </c>
      <c r="E13" s="317">
        <v>4.8499999999999996</v>
      </c>
      <c r="F13" s="317">
        <v>5.65</v>
      </c>
      <c r="G13" s="317">
        <v>6.29</v>
      </c>
      <c r="H13" s="317">
        <v>6.6</v>
      </c>
      <c r="I13" s="317">
        <v>6.77</v>
      </c>
    </row>
    <row r="14" spans="1:11" x14ac:dyDescent="0.35">
      <c r="A14" s="208" t="s">
        <v>366</v>
      </c>
      <c r="B14" s="196"/>
      <c r="D14" s="317">
        <v>4.9400000000000004</v>
      </c>
      <c r="E14" s="317">
        <v>1.86</v>
      </c>
      <c r="F14" s="317">
        <v>2.21</v>
      </c>
      <c r="G14" s="317">
        <v>2.46</v>
      </c>
      <c r="H14" s="317">
        <v>2.58</v>
      </c>
      <c r="I14" s="317">
        <v>2.64</v>
      </c>
    </row>
    <row r="15" spans="1:11" x14ac:dyDescent="0.35">
      <c r="A15" s="208" t="s">
        <v>367</v>
      </c>
      <c r="B15" s="196"/>
      <c r="D15" s="317">
        <v>3.58</v>
      </c>
      <c r="E15" s="317">
        <v>1.42</v>
      </c>
      <c r="F15" s="317">
        <v>1.66</v>
      </c>
      <c r="G15" s="317">
        <v>1.85</v>
      </c>
      <c r="H15" s="317">
        <v>1.94</v>
      </c>
      <c r="I15" s="317">
        <v>1.98</v>
      </c>
    </row>
    <row r="16" spans="1:11" x14ac:dyDescent="0.35">
      <c r="A16" s="208" t="s">
        <v>368</v>
      </c>
      <c r="B16" s="196"/>
      <c r="D16" s="317">
        <v>2.33</v>
      </c>
      <c r="E16" s="317">
        <v>0.94</v>
      </c>
      <c r="F16" s="317">
        <v>1.1000000000000001</v>
      </c>
      <c r="G16" s="317">
        <v>1.23</v>
      </c>
      <c r="H16" s="317">
        <v>1.29</v>
      </c>
      <c r="I16" s="317">
        <v>1.32</v>
      </c>
    </row>
    <row r="17" spans="1:12" s="196" customFormat="1" ht="9" customHeight="1" thickBot="1" x14ac:dyDescent="0.4">
      <c r="A17" s="216"/>
      <c r="B17" s="216"/>
      <c r="C17" s="216"/>
      <c r="D17" s="230"/>
      <c r="E17" s="216"/>
      <c r="F17" s="216"/>
      <c r="G17" s="216"/>
      <c r="H17" s="216"/>
      <c r="I17" s="216"/>
      <c r="J17" s="216"/>
      <c r="K17" s="195"/>
    </row>
    <row r="18" spans="1:12" s="196" customFormat="1" ht="9" customHeight="1" x14ac:dyDescent="0.35">
      <c r="D18" s="242"/>
      <c r="K18" s="195"/>
    </row>
    <row r="19" spans="1:12" ht="15.5" x14ac:dyDescent="0.35">
      <c r="A19" s="233" t="s">
        <v>314</v>
      </c>
      <c r="L19" s="196"/>
    </row>
    <row r="20" spans="1:12" x14ac:dyDescent="0.35">
      <c r="L20" s="196"/>
    </row>
    <row r="21" spans="1:12" ht="26.25" customHeight="1" x14ac:dyDescent="0.35">
      <c r="A21" s="222" t="s">
        <v>315</v>
      </c>
      <c r="B21" s="440"/>
      <c r="C21" s="196"/>
      <c r="D21" s="223" t="s">
        <v>316</v>
      </c>
      <c r="E21" s="222" t="s">
        <v>35</v>
      </c>
      <c r="L21" s="196"/>
    </row>
    <row r="22" spans="1:12" x14ac:dyDescent="0.35">
      <c r="A22" s="196" t="str">
        <f>A113</f>
        <v>D&amp;C Shares</v>
      </c>
      <c r="B22" s="196"/>
      <c r="C22" s="196"/>
      <c r="D22" s="464">
        <v>10.51</v>
      </c>
      <c r="E22" s="441" t="s">
        <v>342</v>
      </c>
      <c r="L22" s="196"/>
    </row>
    <row r="23" spans="1:12" x14ac:dyDescent="0.35">
      <c r="A23" s="196" t="str">
        <f>A114</f>
        <v>Lead-in duct</v>
      </c>
      <c r="B23" s="196"/>
      <c r="C23" s="196"/>
      <c r="D23" s="464">
        <v>8.6933333333333334</v>
      </c>
      <c r="E23" s="441" t="s">
        <v>342</v>
      </c>
      <c r="L23" s="196"/>
    </row>
    <row r="24" spans="1:12" x14ac:dyDescent="0.35">
      <c r="A24" s="196" t="s">
        <v>317</v>
      </c>
      <c r="B24" s="196"/>
      <c r="C24" s="196"/>
      <c r="D24" s="464">
        <v>0.45333333333333337</v>
      </c>
      <c r="E24" s="441" t="s">
        <v>343</v>
      </c>
      <c r="L24" s="196"/>
    </row>
    <row r="25" spans="1:12" s="196" customFormat="1" ht="9" customHeight="1" thickBot="1" x14ac:dyDescent="0.4">
      <c r="A25" s="216"/>
      <c r="B25" s="216"/>
      <c r="C25" s="216"/>
      <c r="D25" s="230"/>
      <c r="E25" s="216"/>
      <c r="F25" s="216"/>
      <c r="G25" s="216"/>
      <c r="H25" s="216"/>
      <c r="I25" s="216"/>
      <c r="J25" s="216"/>
      <c r="K25" s="195"/>
    </row>
    <row r="26" spans="1:12" s="196" customFormat="1" ht="9" customHeight="1" x14ac:dyDescent="0.35">
      <c r="D26" s="242"/>
      <c r="K26" s="195"/>
    </row>
    <row r="27" spans="1:12" ht="21" x14ac:dyDescent="0.5">
      <c r="A27" s="201" t="s">
        <v>117</v>
      </c>
    </row>
    <row r="28" spans="1:12" s="196" customFormat="1" ht="9" customHeight="1" x14ac:dyDescent="0.35">
      <c r="A28" s="205"/>
      <c r="F28" s="195"/>
      <c r="G28" s="195"/>
      <c r="H28" s="195"/>
      <c r="I28" s="195"/>
    </row>
    <row r="29" spans="1:12" x14ac:dyDescent="0.35">
      <c r="A29" s="205"/>
      <c r="B29" s="196"/>
      <c r="D29" s="196"/>
      <c r="E29" s="196"/>
    </row>
    <row r="30" spans="1:12" ht="15.5" x14ac:dyDescent="0.35">
      <c r="A30" s="198" t="s">
        <v>110</v>
      </c>
      <c r="B30" s="196"/>
      <c r="C30" s="218" t="s">
        <v>32</v>
      </c>
      <c r="D30" s="196"/>
      <c r="E30" s="265" t="s">
        <v>36</v>
      </c>
    </row>
    <row r="31" spans="1:12" s="196" customFormat="1" ht="9" customHeight="1" x14ac:dyDescent="0.35">
      <c r="G31" s="195"/>
      <c r="H31" s="195"/>
      <c r="I31" s="195"/>
    </row>
    <row r="32" spans="1:12" ht="15" thickBot="1" x14ac:dyDescent="0.4">
      <c r="A32" s="196" t="s">
        <v>112</v>
      </c>
      <c r="B32" s="196"/>
      <c r="C32" s="231" t="s">
        <v>33</v>
      </c>
      <c r="D32" s="196"/>
      <c r="E32" s="371">
        <v>95485</v>
      </c>
    </row>
    <row r="33" spans="1:10" ht="15" thickBot="1" x14ac:dyDescent="0.4">
      <c r="A33" s="196" t="s">
        <v>9</v>
      </c>
      <c r="B33" s="196"/>
      <c r="C33" s="231" t="s">
        <v>33</v>
      </c>
      <c r="D33" s="196"/>
      <c r="E33" s="454">
        <v>313765.95722560002</v>
      </c>
    </row>
    <row r="34" spans="1:10" ht="15" thickBot="1" x14ac:dyDescent="0.4">
      <c r="A34" s="196" t="s">
        <v>10</v>
      </c>
      <c r="B34" s="196"/>
      <c r="C34" s="231" t="s">
        <v>33</v>
      </c>
      <c r="D34" s="196"/>
      <c r="E34" s="454">
        <v>57186.921792000001</v>
      </c>
    </row>
    <row r="35" spans="1:10" ht="15" thickBot="1" x14ac:dyDescent="0.4">
      <c r="A35" s="196" t="s">
        <v>11</v>
      </c>
      <c r="B35" s="196"/>
      <c r="C35" s="231" t="s">
        <v>33</v>
      </c>
      <c r="D35" s="196"/>
      <c r="E35" s="454">
        <v>53503.463460999999</v>
      </c>
    </row>
    <row r="36" spans="1:10" ht="15" thickBot="1" x14ac:dyDescent="0.4">
      <c r="A36" s="196" t="s">
        <v>12</v>
      </c>
      <c r="B36" s="196"/>
      <c r="C36" s="231" t="s">
        <v>34</v>
      </c>
      <c r="D36" s="196"/>
      <c r="E36" s="454">
        <v>6492622.5</v>
      </c>
    </row>
    <row r="37" spans="1:10" ht="15" thickBot="1" x14ac:dyDescent="0.4">
      <c r="A37" s="196" t="s">
        <v>13</v>
      </c>
      <c r="B37" s="196"/>
      <c r="C37" s="231" t="s">
        <v>34</v>
      </c>
      <c r="D37" s="196"/>
      <c r="E37" s="454">
        <v>239009.86000000002</v>
      </c>
    </row>
    <row r="38" spans="1:10" s="196" customFormat="1" ht="9" customHeight="1" thickBot="1" x14ac:dyDescent="0.35">
      <c r="A38" s="216"/>
      <c r="B38" s="216"/>
      <c r="C38" s="216"/>
      <c r="D38" s="230"/>
      <c r="E38" s="216"/>
      <c r="F38" s="216"/>
      <c r="G38" s="216"/>
      <c r="H38" s="216"/>
      <c r="I38" s="216"/>
      <c r="J38" s="216"/>
    </row>
    <row r="39" spans="1:10" s="196" customFormat="1" ht="9" customHeight="1" x14ac:dyDescent="0.3">
      <c r="C39" s="206"/>
      <c r="D39" s="49"/>
    </row>
    <row r="40" spans="1:10" ht="15.5" x14ac:dyDescent="0.35">
      <c r="A40" s="233" t="s">
        <v>283</v>
      </c>
      <c r="E40" s="277" t="s">
        <v>36</v>
      </c>
    </row>
    <row r="41" spans="1:10" ht="9" customHeight="1" x14ac:dyDescent="0.35"/>
    <row r="42" spans="1:10" x14ac:dyDescent="0.35">
      <c r="A42" s="196" t="s">
        <v>45</v>
      </c>
      <c r="B42" s="196"/>
      <c r="C42" s="196"/>
      <c r="D42" s="196"/>
      <c r="E42" s="370">
        <v>27.5</v>
      </c>
      <c r="G42" s="244"/>
    </row>
    <row r="43" spans="1:10" x14ac:dyDescent="0.35">
      <c r="A43" s="196" t="s">
        <v>56</v>
      </c>
      <c r="B43" s="196"/>
      <c r="C43" s="196"/>
      <c r="D43" s="196"/>
      <c r="E43" s="370">
        <v>327.9</v>
      </c>
      <c r="G43" s="244"/>
    </row>
    <row r="44" spans="1:10" x14ac:dyDescent="0.35">
      <c r="A44" s="196" t="s">
        <v>6</v>
      </c>
      <c r="B44" s="196"/>
      <c r="C44" s="196"/>
      <c r="D44" s="196"/>
      <c r="E44" s="370">
        <v>-897.79999999999984</v>
      </c>
      <c r="G44" s="244"/>
    </row>
    <row r="45" spans="1:10" x14ac:dyDescent="0.35">
      <c r="A45" s="196" t="s">
        <v>7</v>
      </c>
      <c r="B45" s="196"/>
      <c r="C45" s="196"/>
      <c r="D45" s="196"/>
      <c r="E45" s="370">
        <v>19.700000000000003</v>
      </c>
      <c r="G45" s="244"/>
    </row>
    <row r="46" spans="1:10" x14ac:dyDescent="0.35">
      <c r="A46" s="210" t="s">
        <v>43</v>
      </c>
      <c r="B46" s="210"/>
      <c r="C46" s="210"/>
      <c r="D46" s="210"/>
      <c r="E46" s="370">
        <v>0</v>
      </c>
      <c r="G46" s="244"/>
    </row>
    <row r="47" spans="1:10" x14ac:dyDescent="0.35">
      <c r="A47" s="196" t="s">
        <v>24</v>
      </c>
      <c r="B47" s="196"/>
      <c r="C47" s="196"/>
      <c r="D47" s="196"/>
      <c r="E47" s="228">
        <f>SUM(E42:E46)</f>
        <v>-522.69999999999982</v>
      </c>
      <c r="G47" s="244"/>
    </row>
    <row r="48" spans="1:10" ht="9" customHeight="1" x14ac:dyDescent="0.35">
      <c r="A48" s="196"/>
      <c r="B48" s="196"/>
      <c r="C48" s="196"/>
      <c r="D48" s="196"/>
      <c r="E48" s="228"/>
      <c r="G48" s="244"/>
    </row>
    <row r="49" spans="1:8" x14ac:dyDescent="0.35">
      <c r="A49" s="196" t="s">
        <v>25</v>
      </c>
      <c r="B49" s="196"/>
      <c r="C49" s="196"/>
      <c r="D49" s="196"/>
      <c r="E49" s="228"/>
      <c r="G49" s="244"/>
    </row>
    <row r="50" spans="1:8" x14ac:dyDescent="0.35">
      <c r="A50" s="196" t="s">
        <v>44</v>
      </c>
      <c r="B50" s="196"/>
      <c r="C50" s="196"/>
      <c r="D50" s="196"/>
      <c r="E50" s="370">
        <v>6138.1000000000013</v>
      </c>
      <c r="G50" s="244"/>
    </row>
    <row r="51" spans="1:8" x14ac:dyDescent="0.35">
      <c r="A51" s="196" t="s">
        <v>23</v>
      </c>
      <c r="B51" s="196"/>
      <c r="C51" s="196"/>
      <c r="D51" s="196"/>
      <c r="E51" s="370">
        <v>-185.19999999999996</v>
      </c>
      <c r="G51" s="244"/>
    </row>
    <row r="52" spans="1:8" x14ac:dyDescent="0.35">
      <c r="A52" s="196" t="s">
        <v>186</v>
      </c>
      <c r="B52" s="196"/>
      <c r="C52" s="196"/>
      <c r="D52" s="196"/>
      <c r="E52" s="370">
        <v>0</v>
      </c>
      <c r="G52" s="244"/>
    </row>
    <row r="53" spans="1:8" x14ac:dyDescent="0.35">
      <c r="A53" s="210" t="s">
        <v>4</v>
      </c>
      <c r="B53" s="210"/>
      <c r="C53" s="210"/>
      <c r="D53" s="210"/>
      <c r="E53" s="370">
        <v>64.7</v>
      </c>
      <c r="G53" s="244"/>
    </row>
    <row r="54" spans="1:8" x14ac:dyDescent="0.35">
      <c r="A54" s="196" t="s">
        <v>5</v>
      </c>
      <c r="B54" s="196"/>
      <c r="C54" s="196"/>
      <c r="D54" s="196"/>
      <c r="E54" s="228">
        <f>SUM(E50:E53)</f>
        <v>6017.6000000000013</v>
      </c>
      <c r="G54" s="244"/>
    </row>
    <row r="55" spans="1:8" ht="9" customHeight="1" x14ac:dyDescent="0.35">
      <c r="E55" s="211"/>
    </row>
    <row r="56" spans="1:8" x14ac:dyDescent="0.35">
      <c r="A56" s="199" t="s">
        <v>113</v>
      </c>
      <c r="B56" s="196"/>
      <c r="C56" s="196"/>
      <c r="E56" s="196"/>
      <c r="H56" s="241"/>
    </row>
    <row r="57" spans="1:8" ht="15" thickBot="1" x14ac:dyDescent="0.4">
      <c r="A57" s="196"/>
      <c r="B57" s="196"/>
      <c r="C57" s="196"/>
      <c r="D57" s="196"/>
      <c r="E57" s="277" t="s">
        <v>36</v>
      </c>
      <c r="H57" s="241"/>
    </row>
    <row r="58" spans="1:8" ht="15" thickBot="1" x14ac:dyDescent="0.4">
      <c r="A58" s="196" t="s">
        <v>372</v>
      </c>
      <c r="B58" s="196" t="s">
        <v>49</v>
      </c>
      <c r="C58" s="196"/>
      <c r="D58" s="196"/>
      <c r="E58" s="456">
        <v>1477.3126413055174</v>
      </c>
      <c r="H58" s="241"/>
    </row>
    <row r="59" spans="1:8" ht="15" thickBot="1" x14ac:dyDescent="0.4">
      <c r="A59" s="196" t="s">
        <v>373</v>
      </c>
      <c r="B59" s="196" t="s">
        <v>321</v>
      </c>
      <c r="C59" s="196"/>
      <c r="D59" s="196"/>
      <c r="E59" s="456">
        <v>409.06507786689355</v>
      </c>
      <c r="H59" s="241"/>
    </row>
    <row r="60" spans="1:8" ht="15" thickBot="1" x14ac:dyDescent="0.4">
      <c r="A60" s="196"/>
      <c r="B60" s="196" t="s">
        <v>48</v>
      </c>
      <c r="C60" s="196"/>
      <c r="D60" s="196"/>
      <c r="E60" s="456">
        <v>262.23372412995963</v>
      </c>
      <c r="G60" s="455"/>
      <c r="H60" s="241"/>
    </row>
    <row r="61" spans="1:8" ht="15" thickBot="1" x14ac:dyDescent="0.4">
      <c r="A61" s="196"/>
      <c r="B61" s="196" t="s">
        <v>50</v>
      </c>
      <c r="C61" s="196"/>
      <c r="D61" s="196"/>
      <c r="E61" s="456">
        <v>0</v>
      </c>
      <c r="G61" s="455"/>
      <c r="H61" s="241"/>
    </row>
    <row r="62" spans="1:8" x14ac:dyDescent="0.35">
      <c r="A62" s="196"/>
      <c r="B62" s="196" t="s">
        <v>51</v>
      </c>
      <c r="C62" s="196"/>
      <c r="D62" s="196"/>
      <c r="E62" s="228">
        <f>SUM(E58:E61)</f>
        <v>2148.6114433023704</v>
      </c>
      <c r="G62" s="455"/>
      <c r="H62" s="241"/>
    </row>
    <row r="63" spans="1:8" s="268" customFormat="1" ht="15" thickBot="1" x14ac:dyDescent="0.4">
      <c r="A63" s="196"/>
      <c r="B63" s="196"/>
      <c r="C63" s="196"/>
      <c r="D63" s="196"/>
      <c r="E63" s="196"/>
      <c r="F63" s="195"/>
      <c r="G63" s="455"/>
      <c r="H63" s="269"/>
    </row>
    <row r="64" spans="1:8" ht="15" thickBot="1" x14ac:dyDescent="0.4">
      <c r="A64" s="196" t="s">
        <v>372</v>
      </c>
      <c r="B64" s="196" t="s">
        <v>319</v>
      </c>
      <c r="C64" s="196"/>
      <c r="D64" s="196"/>
      <c r="E64" s="456">
        <v>1828.6427726785316</v>
      </c>
      <c r="H64" s="241"/>
    </row>
    <row r="65" spans="1:8" ht="15" thickBot="1" x14ac:dyDescent="0.4">
      <c r="A65" s="196" t="s">
        <v>374</v>
      </c>
      <c r="B65" s="196" t="s">
        <v>46</v>
      </c>
      <c r="C65" s="196"/>
      <c r="D65" s="196"/>
      <c r="E65" s="456">
        <v>516.95037312849183</v>
      </c>
      <c r="H65" s="241"/>
    </row>
    <row r="66" spans="1:8" ht="15" thickBot="1" x14ac:dyDescent="0.4">
      <c r="A66" s="196"/>
      <c r="B66" s="196" t="s">
        <v>47</v>
      </c>
      <c r="C66" s="196"/>
      <c r="D66" s="196"/>
      <c r="E66" s="456">
        <v>-53.553597043285116</v>
      </c>
      <c r="H66" s="241"/>
    </row>
    <row r="67" spans="1:8" ht="15" thickBot="1" x14ac:dyDescent="0.4">
      <c r="A67" s="196"/>
      <c r="B67" s="196" t="s">
        <v>48</v>
      </c>
      <c r="C67" s="196"/>
      <c r="D67" s="196"/>
      <c r="E67" s="456">
        <v>280.68910475814243</v>
      </c>
      <c r="H67" s="241"/>
    </row>
    <row r="68" spans="1:8" ht="15" thickBot="1" x14ac:dyDescent="0.4">
      <c r="A68" s="196"/>
      <c r="B68" s="196" t="s">
        <v>320</v>
      </c>
      <c r="C68" s="196"/>
      <c r="D68" s="196"/>
      <c r="E68" s="456">
        <v>0</v>
      </c>
      <c r="H68" s="241"/>
    </row>
    <row r="69" spans="1:8" x14ac:dyDescent="0.35">
      <c r="A69" s="196"/>
      <c r="B69" s="196" t="s">
        <v>52</v>
      </c>
      <c r="C69" s="196"/>
      <c r="D69" s="196"/>
      <c r="E69" s="228">
        <f>SUM(E64:E68)</f>
        <v>2572.7286535218809</v>
      </c>
      <c r="H69" s="241"/>
    </row>
    <row r="70" spans="1:8" s="268" customFormat="1" ht="15" thickBot="1" x14ac:dyDescent="0.4">
      <c r="A70" s="196"/>
      <c r="B70" s="196"/>
      <c r="C70" s="196"/>
      <c r="D70" s="196"/>
      <c r="E70" s="196"/>
      <c r="F70" s="195"/>
      <c r="H70" s="269"/>
    </row>
    <row r="71" spans="1:8" ht="15" thickBot="1" x14ac:dyDescent="0.4">
      <c r="A71" s="196" t="s">
        <v>375</v>
      </c>
      <c r="B71" s="196" t="s">
        <v>49</v>
      </c>
      <c r="C71" s="196"/>
      <c r="D71" s="196"/>
      <c r="E71" s="456">
        <v>6835.7231284286645</v>
      </c>
    </row>
    <row r="72" spans="1:8" ht="15" thickBot="1" x14ac:dyDescent="0.4">
      <c r="A72" s="196" t="s">
        <v>373</v>
      </c>
      <c r="B72" s="196" t="s">
        <v>321</v>
      </c>
      <c r="C72" s="196"/>
      <c r="D72" s="196"/>
      <c r="E72" s="456">
        <v>0</v>
      </c>
    </row>
    <row r="73" spans="1:8" ht="15" thickBot="1" x14ac:dyDescent="0.4">
      <c r="A73" s="196"/>
      <c r="B73" s="196" t="s">
        <v>48</v>
      </c>
      <c r="C73" s="196"/>
      <c r="D73" s="196"/>
      <c r="E73" s="456">
        <v>825.52973695894002</v>
      </c>
    </row>
    <row r="74" spans="1:8" ht="15" thickBot="1" x14ac:dyDescent="0.4">
      <c r="A74" s="196"/>
      <c r="B74" s="196" t="s">
        <v>50</v>
      </c>
      <c r="C74" s="196"/>
      <c r="D74" s="196"/>
      <c r="E74" s="456">
        <v>-11.162772920228235</v>
      </c>
    </row>
    <row r="75" spans="1:8" x14ac:dyDescent="0.35">
      <c r="A75" s="196"/>
      <c r="B75" s="196" t="s">
        <v>51</v>
      </c>
      <c r="C75" s="196"/>
      <c r="D75" s="196"/>
      <c r="E75" s="228">
        <f>SUM(E71:E74)</f>
        <v>7650.0900924673761</v>
      </c>
    </row>
    <row r="76" spans="1:8" s="268" customFormat="1" ht="13.5" thickBot="1" x14ac:dyDescent="0.35">
      <c r="A76" s="196"/>
      <c r="B76" s="196"/>
      <c r="C76" s="196"/>
      <c r="D76" s="196"/>
      <c r="E76" s="196"/>
      <c r="F76" s="196"/>
    </row>
    <row r="77" spans="1:8" ht="15" thickBot="1" x14ac:dyDescent="0.4">
      <c r="A77" s="196" t="s">
        <v>375</v>
      </c>
      <c r="B77" s="196" t="s">
        <v>319</v>
      </c>
      <c r="C77" s="196"/>
      <c r="D77" s="196"/>
      <c r="E77" s="456">
        <v>3898.447876452884</v>
      </c>
    </row>
    <row r="78" spans="1:8" ht="15" thickBot="1" x14ac:dyDescent="0.4">
      <c r="A78" s="196" t="s">
        <v>374</v>
      </c>
      <c r="B78" s="196" t="s">
        <v>46</v>
      </c>
      <c r="C78" s="196"/>
      <c r="D78" s="196"/>
      <c r="E78" s="456">
        <v>0</v>
      </c>
    </row>
    <row r="79" spans="1:8" ht="15" thickBot="1" x14ac:dyDescent="0.4">
      <c r="A79" s="196"/>
      <c r="B79" s="196" t="s">
        <v>47</v>
      </c>
      <c r="C79" s="196"/>
      <c r="D79" s="196"/>
      <c r="E79" s="456">
        <v>-167.79479053517906</v>
      </c>
    </row>
    <row r="80" spans="1:8" ht="15" thickBot="1" x14ac:dyDescent="0.4">
      <c r="A80" s="196"/>
      <c r="B80" s="196" t="s">
        <v>48</v>
      </c>
      <c r="C80" s="196"/>
      <c r="D80" s="196"/>
      <c r="E80" s="456">
        <v>533.1895032047139</v>
      </c>
    </row>
    <row r="81" spans="1:9" ht="15" thickBot="1" x14ac:dyDescent="0.4">
      <c r="A81" s="196"/>
      <c r="B81" s="196" t="s">
        <v>320</v>
      </c>
      <c r="C81" s="196"/>
      <c r="D81" s="196"/>
      <c r="E81" s="456">
        <v>-10.372488111716503</v>
      </c>
    </row>
    <row r="82" spans="1:9" x14ac:dyDescent="0.35">
      <c r="A82" s="196"/>
      <c r="B82" s="196" t="s">
        <v>52</v>
      </c>
      <c r="C82" s="196"/>
      <c r="D82" s="196"/>
      <c r="E82" s="228">
        <f>SUM(E77:E81)</f>
        <v>4253.4701010107019</v>
      </c>
    </row>
    <row r="83" spans="1:9" s="268" customFormat="1" ht="13.5" thickBot="1" x14ac:dyDescent="0.35">
      <c r="A83" s="196"/>
      <c r="B83" s="196"/>
      <c r="C83" s="196"/>
      <c r="D83" s="196"/>
      <c r="E83" s="196"/>
      <c r="F83" s="196"/>
    </row>
    <row r="84" spans="1:9" ht="15" thickBot="1" x14ac:dyDescent="0.4">
      <c r="A84" s="196" t="s">
        <v>376</v>
      </c>
      <c r="B84" s="196" t="s">
        <v>49</v>
      </c>
      <c r="C84" s="196"/>
      <c r="D84" s="196"/>
      <c r="E84" s="456">
        <v>4249.8939433552678</v>
      </c>
    </row>
    <row r="85" spans="1:9" ht="15" thickBot="1" x14ac:dyDescent="0.4">
      <c r="A85" s="196" t="s">
        <v>377</v>
      </c>
      <c r="B85" s="196" t="s">
        <v>321</v>
      </c>
      <c r="C85" s="196"/>
      <c r="D85" s="196"/>
      <c r="E85" s="456">
        <v>-7.2579457461830832E-3</v>
      </c>
    </row>
    <row r="86" spans="1:9" ht="15" thickBot="1" x14ac:dyDescent="0.4">
      <c r="A86" s="196"/>
      <c r="B86" s="196" t="s">
        <v>48</v>
      </c>
      <c r="C86" s="196"/>
      <c r="D86" s="196"/>
      <c r="E86" s="456">
        <v>484.38948151313502</v>
      </c>
    </row>
    <row r="87" spans="1:9" ht="15" thickBot="1" x14ac:dyDescent="0.4">
      <c r="A87" s="196"/>
      <c r="B87" s="196" t="s">
        <v>50</v>
      </c>
      <c r="C87" s="196"/>
      <c r="D87" s="196"/>
      <c r="E87" s="456">
        <v>6.4175520280101376E-3</v>
      </c>
    </row>
    <row r="88" spans="1:9" x14ac:dyDescent="0.35">
      <c r="A88" s="196"/>
      <c r="B88" s="196" t="s">
        <v>51</v>
      </c>
      <c r="C88" s="196"/>
      <c r="D88" s="196"/>
      <c r="E88" s="228">
        <f>SUM(E84:E87)</f>
        <v>4734.2825844746849</v>
      </c>
    </row>
    <row r="89" spans="1:9" s="268" customFormat="1" ht="13.5" thickBot="1" x14ac:dyDescent="0.35">
      <c r="A89" s="196"/>
      <c r="B89" s="196"/>
      <c r="C89" s="196"/>
      <c r="D89" s="196"/>
      <c r="E89" s="196"/>
      <c r="F89" s="196"/>
    </row>
    <row r="90" spans="1:9" ht="15" thickBot="1" x14ac:dyDescent="0.4">
      <c r="A90" s="196" t="s">
        <v>376</v>
      </c>
      <c r="B90" s="196" t="s">
        <v>319</v>
      </c>
      <c r="C90" s="196"/>
      <c r="D90" s="196"/>
      <c r="E90" s="456">
        <v>748.1283906255926</v>
      </c>
    </row>
    <row r="91" spans="1:9" ht="15" thickBot="1" x14ac:dyDescent="0.4">
      <c r="A91" s="196" t="s">
        <v>378</v>
      </c>
      <c r="B91" s="196" t="s">
        <v>46</v>
      </c>
      <c r="C91" s="196"/>
      <c r="D91" s="196"/>
      <c r="E91" s="456">
        <v>-6.5703508860183706E-3</v>
      </c>
    </row>
    <row r="92" spans="1:9" ht="15" thickBot="1" x14ac:dyDescent="0.4">
      <c r="A92" s="196"/>
      <c r="B92" s="196" t="s">
        <v>47</v>
      </c>
      <c r="C92" s="196"/>
      <c r="D92" s="196"/>
      <c r="E92" s="456">
        <v>-95.049148263856324</v>
      </c>
    </row>
    <row r="93" spans="1:9" ht="15" thickBot="1" x14ac:dyDescent="0.4">
      <c r="A93" s="196"/>
      <c r="B93" s="196" t="s">
        <v>48</v>
      </c>
      <c r="C93" s="196"/>
      <c r="D93" s="196"/>
      <c r="E93" s="456">
        <v>81.038617272907942</v>
      </c>
    </row>
    <row r="94" spans="1:9" ht="15" thickBot="1" x14ac:dyDescent="0.4">
      <c r="A94" s="196"/>
      <c r="B94" s="196" t="s">
        <v>320</v>
      </c>
      <c r="C94" s="196"/>
      <c r="D94" s="196"/>
      <c r="E94" s="456">
        <v>7.3343451748687288E-3</v>
      </c>
    </row>
    <row r="95" spans="1:9" x14ac:dyDescent="0.35">
      <c r="A95" s="196"/>
      <c r="B95" s="196" t="s">
        <v>52</v>
      </c>
      <c r="C95" s="196"/>
      <c r="D95" s="196"/>
      <c r="E95" s="228">
        <f>SUM(E90:E94)</f>
        <v>734.11862362893305</v>
      </c>
    </row>
    <row r="96" spans="1:9" s="268" customFormat="1" ht="15" thickBot="1" x14ac:dyDescent="0.4">
      <c r="A96" s="196"/>
      <c r="B96" s="196"/>
      <c r="C96" s="196"/>
      <c r="D96" s="196"/>
      <c r="E96" s="196"/>
      <c r="F96" s="196"/>
      <c r="G96" s="195"/>
      <c r="H96" s="195"/>
      <c r="I96" s="195"/>
    </row>
    <row r="97" spans="1:10" ht="15" thickBot="1" x14ac:dyDescent="0.4">
      <c r="A97" s="196" t="s">
        <v>379</v>
      </c>
      <c r="B97" s="196" t="s">
        <v>49</v>
      </c>
      <c r="C97" s="196"/>
      <c r="D97" s="196"/>
      <c r="E97" s="456">
        <v>1828.00357998193</v>
      </c>
    </row>
    <row r="98" spans="1:10" ht="15" thickBot="1" x14ac:dyDescent="0.4">
      <c r="A98" s="196" t="s">
        <v>380</v>
      </c>
      <c r="B98" s="196" t="s">
        <v>321</v>
      </c>
      <c r="C98" s="196"/>
      <c r="D98" s="196"/>
      <c r="E98" s="456">
        <v>-2.1250772956946337E-3</v>
      </c>
    </row>
    <row r="99" spans="1:10" ht="15" thickBot="1" x14ac:dyDescent="0.4">
      <c r="A99" s="196"/>
      <c r="B99" s="196" t="s">
        <v>48</v>
      </c>
      <c r="C99" s="196"/>
      <c r="D99" s="196"/>
      <c r="E99" s="456">
        <v>277.90408440370425</v>
      </c>
    </row>
    <row r="100" spans="1:10" ht="15" thickBot="1" x14ac:dyDescent="0.4">
      <c r="A100" s="196"/>
      <c r="B100" s="196" t="s">
        <v>50</v>
      </c>
      <c r="C100" s="196"/>
      <c r="D100" s="196"/>
      <c r="E100" s="456">
        <v>0</v>
      </c>
    </row>
    <row r="101" spans="1:10" x14ac:dyDescent="0.35">
      <c r="A101" s="196"/>
      <c r="B101" s="196" t="s">
        <v>51</v>
      </c>
      <c r="C101" s="196"/>
      <c r="D101" s="196"/>
      <c r="E101" s="228">
        <f>SUM(E97:E100)</f>
        <v>2105.9055393083386</v>
      </c>
    </row>
    <row r="102" spans="1:10" s="268" customFormat="1" ht="15" thickBot="1" x14ac:dyDescent="0.4">
      <c r="A102" s="196"/>
      <c r="B102" s="196"/>
      <c r="C102" s="196"/>
      <c r="D102" s="196"/>
      <c r="E102" s="196"/>
      <c r="F102" s="196"/>
      <c r="G102" s="195"/>
      <c r="H102" s="195"/>
      <c r="I102" s="195"/>
    </row>
    <row r="103" spans="1:10" ht="15" thickBot="1" x14ac:dyDescent="0.4">
      <c r="A103" s="196" t="s">
        <v>379</v>
      </c>
      <c r="B103" s="196" t="s">
        <v>319</v>
      </c>
      <c r="C103" s="196"/>
      <c r="D103" s="196"/>
      <c r="E103" s="456">
        <v>247.74011499548857</v>
      </c>
    </row>
    <row r="104" spans="1:10" ht="15" thickBot="1" x14ac:dyDescent="0.4">
      <c r="A104" s="196" t="s">
        <v>381</v>
      </c>
      <c r="B104" s="196" t="s">
        <v>46</v>
      </c>
      <c r="C104" s="196"/>
      <c r="D104" s="196"/>
      <c r="E104" s="456">
        <v>-1.9353382514361839E-3</v>
      </c>
    </row>
    <row r="105" spans="1:10" ht="15" thickBot="1" x14ac:dyDescent="0.4">
      <c r="A105" s="196"/>
      <c r="B105" s="196" t="s">
        <v>47</v>
      </c>
      <c r="C105" s="196"/>
      <c r="D105" s="196"/>
      <c r="E105" s="456">
        <v>-42.103879137490914</v>
      </c>
    </row>
    <row r="106" spans="1:10" ht="15" thickBot="1" x14ac:dyDescent="0.4">
      <c r="A106" s="196"/>
      <c r="B106" s="196" t="s">
        <v>48</v>
      </c>
      <c r="C106" s="196"/>
      <c r="D106" s="196"/>
      <c r="E106" s="456">
        <v>31.098867684563594</v>
      </c>
    </row>
    <row r="107" spans="1:10" ht="15" thickBot="1" x14ac:dyDescent="0.4">
      <c r="A107" s="196"/>
      <c r="B107" s="196" t="s">
        <v>320</v>
      </c>
      <c r="C107" s="196"/>
      <c r="D107" s="196"/>
      <c r="E107" s="456">
        <v>0</v>
      </c>
    </row>
    <row r="108" spans="1:10" x14ac:dyDescent="0.35">
      <c r="A108" s="196"/>
      <c r="B108" s="196" t="s">
        <v>52</v>
      </c>
      <c r="C108" s="196"/>
      <c r="D108" s="196"/>
      <c r="E108" s="228">
        <f>SUM(E103:E107)</f>
        <v>236.73316820430983</v>
      </c>
    </row>
    <row r="109" spans="1:10" ht="9" customHeight="1" thickBot="1" x14ac:dyDescent="0.4">
      <c r="A109" s="2"/>
      <c r="B109" s="2"/>
      <c r="C109" s="2"/>
      <c r="D109" s="229"/>
      <c r="E109" s="2"/>
      <c r="F109" s="2"/>
      <c r="G109" s="2"/>
      <c r="H109" s="2"/>
      <c r="I109" s="2"/>
      <c r="J109" s="2"/>
    </row>
    <row r="110" spans="1:10" ht="9" customHeight="1" x14ac:dyDescent="0.35"/>
    <row r="111" spans="1:10" ht="18.5" x14ac:dyDescent="0.35">
      <c r="A111" s="234" t="s">
        <v>382</v>
      </c>
      <c r="E111" s="241"/>
    </row>
    <row r="112" spans="1:10" ht="9" customHeight="1" x14ac:dyDescent="0.35"/>
    <row r="113" spans="1:10" ht="29" x14ac:dyDescent="0.35">
      <c r="A113" s="225" t="s">
        <v>383</v>
      </c>
      <c r="B113" s="225"/>
      <c r="C113" s="226" t="s">
        <v>69</v>
      </c>
      <c r="E113" s="227" t="s">
        <v>392</v>
      </c>
    </row>
    <row r="114" spans="1:10" x14ac:dyDescent="0.35">
      <c r="A114" s="195" t="s">
        <v>8</v>
      </c>
      <c r="C114" s="373">
        <v>9.3522440828465225E-2</v>
      </c>
      <c r="E114" s="372">
        <v>50000</v>
      </c>
    </row>
    <row r="115" spans="1:10" x14ac:dyDescent="0.35">
      <c r="A115" s="195" t="s">
        <v>9</v>
      </c>
      <c r="C115" s="373">
        <v>0.36632568438600105</v>
      </c>
      <c r="E115" s="372">
        <v>50000</v>
      </c>
    </row>
    <row r="116" spans="1:10" x14ac:dyDescent="0.35">
      <c r="A116" s="195" t="s">
        <v>10</v>
      </c>
      <c r="C116" s="373">
        <v>9.6567223901176141E-2</v>
      </c>
      <c r="E116" s="372">
        <v>70000</v>
      </c>
      <c r="G116" s="466"/>
    </row>
    <row r="117" spans="1:10" x14ac:dyDescent="0.35">
      <c r="A117" s="195" t="s">
        <v>11</v>
      </c>
      <c r="C117" s="373">
        <v>0.15289390493367422</v>
      </c>
      <c r="E117" s="372">
        <v>85000</v>
      </c>
      <c r="G117" s="466"/>
    </row>
    <row r="118" spans="1:10" x14ac:dyDescent="0.35">
      <c r="A118" s="195" t="s">
        <v>12</v>
      </c>
      <c r="C118" s="373">
        <v>0.17397355666977582</v>
      </c>
      <c r="E118" s="372">
        <v>1000</v>
      </c>
    </row>
    <row r="119" spans="1:10" x14ac:dyDescent="0.35">
      <c r="A119" s="6" t="s">
        <v>13</v>
      </c>
      <c r="B119" s="6"/>
      <c r="C119" s="373">
        <v>0.11671718928090756</v>
      </c>
      <c r="E119" s="372">
        <v>25000</v>
      </c>
    </row>
    <row r="120" spans="1:10" x14ac:dyDescent="0.35">
      <c r="A120" s="195" t="s">
        <v>0</v>
      </c>
      <c r="C120" s="217">
        <v>1</v>
      </c>
      <c r="D120" s="235"/>
      <c r="E120" s="217"/>
    </row>
    <row r="121" spans="1:10" ht="9" customHeight="1" thickBot="1" x14ac:dyDescent="0.4">
      <c r="A121" s="2"/>
      <c r="B121" s="2"/>
      <c r="C121" s="2"/>
      <c r="D121" s="229"/>
      <c r="E121" s="2"/>
      <c r="F121" s="2"/>
      <c r="G121" s="2"/>
      <c r="H121" s="2"/>
      <c r="I121" s="2"/>
      <c r="J121" s="2"/>
    </row>
    <row r="122" spans="1:10" ht="9" customHeight="1" x14ac:dyDescent="0.35"/>
    <row r="123" spans="1:10" ht="21" x14ac:dyDescent="0.5">
      <c r="A123" s="201" t="s">
        <v>384</v>
      </c>
    </row>
    <row r="124" spans="1:10" ht="9" customHeight="1" x14ac:dyDescent="0.35"/>
    <row r="125" spans="1:10" ht="15.5" x14ac:dyDescent="0.35">
      <c r="A125" s="198" t="s">
        <v>385</v>
      </c>
      <c r="B125" s="196"/>
      <c r="C125" s="34" t="s">
        <v>284</v>
      </c>
      <c r="D125" s="376">
        <v>44834</v>
      </c>
      <c r="E125" s="209"/>
    </row>
    <row r="126" spans="1:10" x14ac:dyDescent="0.35">
      <c r="A126" s="196"/>
      <c r="B126" s="196"/>
      <c r="C126" s="196"/>
      <c r="E126" s="196"/>
    </row>
    <row r="127" spans="1:10" x14ac:dyDescent="0.35">
      <c r="A127" s="202" t="s">
        <v>16</v>
      </c>
      <c r="B127" s="51"/>
      <c r="C127" s="51"/>
      <c r="D127" s="374"/>
      <c r="E127" s="375">
        <v>0.25</v>
      </c>
      <c r="F127" s="196"/>
    </row>
    <row r="128" spans="1:10" x14ac:dyDescent="0.35">
      <c r="A128" s="202" t="s">
        <v>17</v>
      </c>
      <c r="B128" s="51"/>
      <c r="C128" s="51"/>
      <c r="D128" s="374"/>
      <c r="E128" s="375">
        <v>0.1</v>
      </c>
    </row>
    <row r="129" spans="1:10" x14ac:dyDescent="0.35">
      <c r="A129" s="202" t="s">
        <v>18</v>
      </c>
      <c r="B129" s="51"/>
      <c r="C129" s="51"/>
      <c r="D129" s="374"/>
      <c r="E129" s="375">
        <v>0.35</v>
      </c>
    </row>
    <row r="130" spans="1:10" x14ac:dyDescent="0.35">
      <c r="A130" s="202" t="s">
        <v>19</v>
      </c>
      <c r="B130" s="51"/>
      <c r="C130" s="51"/>
      <c r="D130" s="374"/>
      <c r="E130" s="375">
        <v>0.15</v>
      </c>
    </row>
    <row r="131" spans="1:10" x14ac:dyDescent="0.35">
      <c r="A131" s="203" t="s">
        <v>20</v>
      </c>
      <c r="B131" s="204"/>
      <c r="C131" s="204"/>
      <c r="D131" s="204"/>
      <c r="E131" s="375">
        <v>0.15</v>
      </c>
    </row>
    <row r="132" spans="1:10" x14ac:dyDescent="0.35">
      <c r="A132" s="203" t="s">
        <v>1</v>
      </c>
      <c r="B132" s="204"/>
      <c r="C132" s="204"/>
      <c r="D132" s="204"/>
      <c r="E132" s="243">
        <f>SUM(E127:E131)</f>
        <v>1</v>
      </c>
    </row>
    <row r="133" spans="1:10" ht="9" customHeight="1" thickBot="1" x14ac:dyDescent="0.4">
      <c r="A133" s="216"/>
      <c r="B133" s="216"/>
      <c r="C133" s="216"/>
      <c r="D133" s="216"/>
      <c r="E133" s="216"/>
      <c r="F133" s="216"/>
      <c r="G133" s="216"/>
      <c r="H133" s="216"/>
      <c r="I133" s="216"/>
      <c r="J133" s="216"/>
    </row>
    <row r="134" spans="1:10" ht="9" customHeight="1" x14ac:dyDescent="0.35"/>
    <row r="135" spans="1:10" ht="15.5" x14ac:dyDescent="0.35">
      <c r="A135" s="233" t="s">
        <v>386</v>
      </c>
    </row>
    <row r="136" spans="1:10" ht="9" customHeight="1" x14ac:dyDescent="0.35">
      <c r="D136" s="214"/>
    </row>
    <row r="137" spans="1:10" x14ac:dyDescent="0.35">
      <c r="A137" s="222" t="s">
        <v>96</v>
      </c>
      <c r="D137" s="224" t="s">
        <v>21</v>
      </c>
      <c r="E137" s="223" t="s">
        <v>22</v>
      </c>
      <c r="F137" s="222" t="s">
        <v>35</v>
      </c>
      <c r="G137" s="222"/>
    </row>
    <row r="138" spans="1:10" x14ac:dyDescent="0.35">
      <c r="A138" s="196" t="s">
        <v>16</v>
      </c>
      <c r="D138" s="371">
        <v>9370082</v>
      </c>
      <c r="E138" s="359">
        <v>44834</v>
      </c>
      <c r="F138" s="377" t="s">
        <v>369</v>
      </c>
      <c r="G138" s="236"/>
    </row>
    <row r="139" spans="1:10" x14ac:dyDescent="0.35">
      <c r="A139" s="196"/>
      <c r="D139" s="371">
        <v>0</v>
      </c>
      <c r="E139" s="359">
        <v>44834</v>
      </c>
      <c r="F139" s="377" t="s">
        <v>370</v>
      </c>
      <c r="G139" s="236"/>
    </row>
    <row r="140" spans="1:10" x14ac:dyDescent="0.35">
      <c r="A140" s="196"/>
      <c r="D140" s="130"/>
      <c r="E140" s="237"/>
      <c r="F140" s="196"/>
    </row>
    <row r="141" spans="1:10" x14ac:dyDescent="0.35">
      <c r="A141" s="196" t="s">
        <v>17</v>
      </c>
      <c r="D141" s="371">
        <v>2835708</v>
      </c>
      <c r="E141" s="359">
        <v>44834</v>
      </c>
      <c r="F141" s="377" t="s">
        <v>369</v>
      </c>
      <c r="G141" s="236"/>
    </row>
    <row r="142" spans="1:10" x14ac:dyDescent="0.35">
      <c r="A142" s="196"/>
      <c r="D142" s="371">
        <v>548432</v>
      </c>
      <c r="E142" s="359">
        <v>44834</v>
      </c>
      <c r="F142" s="377" t="s">
        <v>370</v>
      </c>
      <c r="G142" s="236"/>
    </row>
    <row r="143" spans="1:10" x14ac:dyDescent="0.35">
      <c r="A143" s="196"/>
      <c r="D143" s="130"/>
      <c r="E143" s="237"/>
      <c r="F143" s="196"/>
    </row>
    <row r="144" spans="1:10" x14ac:dyDescent="0.35">
      <c r="A144" s="196" t="s">
        <v>18</v>
      </c>
      <c r="D144" s="371">
        <v>3326527</v>
      </c>
      <c r="E144" s="359">
        <v>44834</v>
      </c>
      <c r="F144" s="377" t="s">
        <v>369</v>
      </c>
      <c r="G144" s="236"/>
    </row>
    <row r="145" spans="1:10" x14ac:dyDescent="0.35">
      <c r="A145" s="196"/>
      <c r="D145" s="371">
        <v>0</v>
      </c>
      <c r="E145" s="359">
        <v>44834</v>
      </c>
      <c r="F145" s="377" t="s">
        <v>370</v>
      </c>
      <c r="G145" s="236"/>
    </row>
    <row r="146" spans="1:10" x14ac:dyDescent="0.35">
      <c r="A146" s="196"/>
      <c r="D146" s="130"/>
      <c r="E146" s="237"/>
      <c r="F146" s="196"/>
    </row>
    <row r="147" spans="1:10" x14ac:dyDescent="0.35">
      <c r="A147" s="196" t="s">
        <v>19</v>
      </c>
      <c r="D147" s="371">
        <v>1510570</v>
      </c>
      <c r="E147" s="359">
        <v>44834</v>
      </c>
      <c r="F147" s="377" t="s">
        <v>369</v>
      </c>
      <c r="G147" s="236"/>
    </row>
    <row r="148" spans="1:10" x14ac:dyDescent="0.35">
      <c r="A148" s="196"/>
      <c r="D148" s="371">
        <v>796651</v>
      </c>
      <c r="E148" s="359">
        <v>44834</v>
      </c>
      <c r="F148" s="377" t="s">
        <v>370</v>
      </c>
      <c r="G148" s="236"/>
    </row>
    <row r="149" spans="1:10" x14ac:dyDescent="0.35">
      <c r="A149" s="196"/>
      <c r="D149" s="130"/>
      <c r="E149" s="237"/>
      <c r="F149" s="196"/>
    </row>
    <row r="150" spans="1:10" x14ac:dyDescent="0.35">
      <c r="A150" s="196" t="s">
        <v>20</v>
      </c>
      <c r="D150" s="371">
        <v>0</v>
      </c>
      <c r="E150" s="359">
        <v>44834</v>
      </c>
      <c r="F150" s="377" t="s">
        <v>369</v>
      </c>
      <c r="G150" s="236"/>
    </row>
    <row r="151" spans="1:10" x14ac:dyDescent="0.35">
      <c r="A151" s="196"/>
      <c r="D151" s="371">
        <v>1236485</v>
      </c>
      <c r="E151" s="359">
        <v>44834</v>
      </c>
      <c r="F151" s="377" t="s">
        <v>370</v>
      </c>
      <c r="G151" s="236"/>
    </row>
    <row r="152" spans="1:10" x14ac:dyDescent="0.35">
      <c r="A152" s="196"/>
      <c r="D152" s="130"/>
      <c r="E152" s="237"/>
      <c r="F152" s="196"/>
    </row>
    <row r="153" spans="1:10" x14ac:dyDescent="0.35">
      <c r="A153" s="196" t="s">
        <v>387</v>
      </c>
      <c r="D153" s="379">
        <v>0.28999999999999998</v>
      </c>
      <c r="E153" s="359" t="s">
        <v>393</v>
      </c>
      <c r="F153" s="377" t="s">
        <v>371</v>
      </c>
      <c r="G153" s="236"/>
    </row>
    <row r="154" spans="1:10" x14ac:dyDescent="0.35">
      <c r="E154" s="238"/>
    </row>
    <row r="155" spans="1:10" x14ac:dyDescent="0.35">
      <c r="A155" s="196" t="s">
        <v>388</v>
      </c>
      <c r="B155" s="196"/>
      <c r="D155" s="378">
        <v>0.5</v>
      </c>
    </row>
    <row r="156" spans="1:10" ht="9" customHeight="1" thickBot="1" x14ac:dyDescent="0.4">
      <c r="A156" s="2"/>
      <c r="B156" s="2"/>
      <c r="C156" s="2"/>
      <c r="D156" s="229"/>
      <c r="E156" s="2"/>
      <c r="F156" s="2"/>
      <c r="G156" s="2"/>
      <c r="H156" s="2"/>
      <c r="I156" s="2"/>
      <c r="J156" s="2"/>
    </row>
    <row r="157" spans="1:10" ht="9" customHeight="1" x14ac:dyDescent="0.35"/>
    <row r="158" spans="1:10" ht="15.5" x14ac:dyDescent="0.35">
      <c r="A158" s="233" t="s">
        <v>389</v>
      </c>
      <c r="E158" s="277" t="s">
        <v>36</v>
      </c>
    </row>
    <row r="159" spans="1:10" ht="9" customHeight="1" x14ac:dyDescent="0.35"/>
    <row r="160" spans="1:10" x14ac:dyDescent="0.35">
      <c r="A160" s="196" t="s">
        <v>45</v>
      </c>
      <c r="B160" s="196"/>
      <c r="C160" s="196"/>
      <c r="D160" s="196"/>
      <c r="E160" s="370">
        <v>50.7</v>
      </c>
    </row>
    <row r="161" spans="1:10" x14ac:dyDescent="0.35">
      <c r="A161" s="196" t="s">
        <v>56</v>
      </c>
      <c r="B161" s="196"/>
      <c r="C161" s="196"/>
      <c r="D161" s="196"/>
      <c r="E161" s="370">
        <v>12.100000000000001</v>
      </c>
      <c r="G161" s="211"/>
    </row>
    <row r="162" spans="1:10" x14ac:dyDescent="0.35">
      <c r="A162" s="196" t="s">
        <v>6</v>
      </c>
      <c r="B162" s="196"/>
      <c r="C162" s="196"/>
      <c r="D162" s="196"/>
      <c r="E162" s="370">
        <v>-34.299999999999997</v>
      </c>
    </row>
    <row r="163" spans="1:10" x14ac:dyDescent="0.35">
      <c r="A163" s="196" t="s">
        <v>7</v>
      </c>
      <c r="B163" s="196"/>
      <c r="C163" s="196"/>
      <c r="D163" s="196"/>
      <c r="E163" s="370">
        <v>12.8</v>
      </c>
    </row>
    <row r="164" spans="1:10" x14ac:dyDescent="0.35">
      <c r="A164" s="210" t="s">
        <v>43</v>
      </c>
      <c r="B164" s="210"/>
      <c r="C164" s="210"/>
      <c r="D164" s="210"/>
      <c r="E164" s="370">
        <v>0</v>
      </c>
    </row>
    <row r="165" spans="1:10" x14ac:dyDescent="0.35">
      <c r="A165" s="196" t="s">
        <v>24</v>
      </c>
      <c r="B165" s="196"/>
      <c r="C165" s="196"/>
      <c r="D165" s="196"/>
      <c r="E165" s="228">
        <f>SUM(E160:E164)</f>
        <v>41.300000000000011</v>
      </c>
      <c r="F165" s="197"/>
    </row>
    <row r="166" spans="1:10" x14ac:dyDescent="0.35">
      <c r="A166" s="196"/>
      <c r="B166" s="196"/>
      <c r="C166" s="196"/>
      <c r="D166" s="196"/>
      <c r="E166" s="228"/>
    </row>
    <row r="167" spans="1:10" x14ac:dyDescent="0.35">
      <c r="A167" s="196" t="s">
        <v>44</v>
      </c>
      <c r="B167" s="196"/>
      <c r="C167" s="196"/>
      <c r="D167" s="196"/>
      <c r="E167" s="370">
        <v>250.79999999999998</v>
      </c>
    </row>
    <row r="168" spans="1:10" x14ac:dyDescent="0.35">
      <c r="A168" s="196" t="s">
        <v>23</v>
      </c>
      <c r="B168" s="196"/>
      <c r="C168" s="196"/>
      <c r="D168" s="196"/>
      <c r="E168" s="370">
        <v>49.900000000000013</v>
      </c>
    </row>
    <row r="169" spans="1:10" x14ac:dyDescent="0.35">
      <c r="A169" s="196" t="s">
        <v>390</v>
      </c>
      <c r="B169" s="196"/>
      <c r="C169" s="196"/>
      <c r="D169" s="196"/>
      <c r="E169" s="405"/>
    </row>
    <row r="170" spans="1:10" x14ac:dyDescent="0.35">
      <c r="A170" s="210" t="s">
        <v>4</v>
      </c>
      <c r="B170" s="210"/>
      <c r="C170" s="210"/>
      <c r="D170" s="210"/>
      <c r="E170" s="370">
        <v>2.8000000000000029</v>
      </c>
    </row>
    <row r="171" spans="1:10" x14ac:dyDescent="0.35">
      <c r="A171" s="196" t="s">
        <v>5</v>
      </c>
      <c r="B171" s="196"/>
      <c r="C171" s="196"/>
      <c r="D171" s="196"/>
      <c r="E171" s="228">
        <f>SUM(E167:E170)</f>
        <v>303.5</v>
      </c>
      <c r="F171" s="197"/>
    </row>
    <row r="172" spans="1:10" ht="9" customHeight="1" x14ac:dyDescent="0.35">
      <c r="A172" s="10"/>
      <c r="B172" s="10"/>
      <c r="C172" s="10"/>
      <c r="D172" s="404"/>
      <c r="E172" s="10"/>
      <c r="F172" s="10"/>
      <c r="G172" s="10"/>
      <c r="H172" s="10"/>
      <c r="I172" s="10"/>
      <c r="J172" s="10"/>
    </row>
    <row r="173" spans="1:10" s="10" customFormat="1" x14ac:dyDescent="0.35">
      <c r="E173" s="183" t="s">
        <v>36</v>
      </c>
    </row>
    <row r="174" spans="1:10" x14ac:dyDescent="0.35">
      <c r="A174" s="196" t="s">
        <v>391</v>
      </c>
      <c r="E174" s="371">
        <v>600</v>
      </c>
    </row>
    <row r="176" spans="1:10" x14ac:dyDescent="0.35">
      <c r="A176" s="421" t="s">
        <v>296</v>
      </c>
    </row>
    <row r="177" spans="1:10" x14ac:dyDescent="0.35">
      <c r="E177" s="183" t="s">
        <v>36</v>
      </c>
    </row>
    <row r="178" spans="1:10" x14ac:dyDescent="0.35">
      <c r="A178" s="195" t="s">
        <v>287</v>
      </c>
      <c r="C178" s="195" t="s">
        <v>49</v>
      </c>
      <c r="E178" s="370">
        <v>298.65794891435053</v>
      </c>
    </row>
    <row r="179" spans="1:10" x14ac:dyDescent="0.35">
      <c r="C179" s="195" t="s">
        <v>51</v>
      </c>
      <c r="E179" s="370">
        <v>394.76029243853696</v>
      </c>
    </row>
    <row r="180" spans="1:10" x14ac:dyDescent="0.35">
      <c r="C180" s="195" t="s">
        <v>57</v>
      </c>
      <c r="E180" s="370">
        <v>346.70912067644366</v>
      </c>
    </row>
    <row r="182" spans="1:10" x14ac:dyDescent="0.35">
      <c r="A182" s="195" t="s">
        <v>287</v>
      </c>
      <c r="C182" s="195" t="s">
        <v>79</v>
      </c>
      <c r="E182" s="370">
        <v>218.00422262896078</v>
      </c>
    </row>
    <row r="183" spans="1:10" x14ac:dyDescent="0.35">
      <c r="C183" s="195" t="s">
        <v>52</v>
      </c>
      <c r="E183" s="370">
        <v>283.59577737103945</v>
      </c>
    </row>
    <row r="184" spans="1:10" x14ac:dyDescent="0.35">
      <c r="C184" s="195" t="s">
        <v>42</v>
      </c>
      <c r="E184" s="370">
        <v>250.79999999999998</v>
      </c>
    </row>
    <row r="185" spans="1:10" x14ac:dyDescent="0.35">
      <c r="C185" s="195" t="s">
        <v>47</v>
      </c>
      <c r="E185" s="370">
        <v>8.3014882449254461</v>
      </c>
    </row>
    <row r="187" spans="1:10" x14ac:dyDescent="0.35">
      <c r="A187" s="195" t="s">
        <v>288</v>
      </c>
      <c r="C187" s="195" t="s">
        <v>79</v>
      </c>
      <c r="E187" s="370">
        <v>52.60599594361139</v>
      </c>
    </row>
    <row r="188" spans="1:10" x14ac:dyDescent="0.35">
      <c r="C188" s="195" t="s">
        <v>52</v>
      </c>
      <c r="E188" s="370">
        <v>47.194004056388323</v>
      </c>
    </row>
    <row r="189" spans="1:10" x14ac:dyDescent="0.35">
      <c r="C189" s="195" t="s">
        <v>42</v>
      </c>
      <c r="E189" s="370">
        <v>49.900000000000013</v>
      </c>
    </row>
    <row r="190" spans="1:10" x14ac:dyDescent="0.35">
      <c r="C190" s="195" t="s">
        <v>47</v>
      </c>
      <c r="E190" s="370">
        <v>3.7985117550745553</v>
      </c>
    </row>
    <row r="191" spans="1:10" ht="9" customHeight="1" thickBot="1" x14ac:dyDescent="0.4">
      <c r="A191" s="2"/>
      <c r="B191" s="2"/>
      <c r="C191" s="2"/>
      <c r="D191" s="229"/>
      <c r="E191" s="2"/>
      <c r="F191" s="2"/>
      <c r="G191" s="2"/>
      <c r="H191" s="2"/>
      <c r="I191" s="2"/>
      <c r="J191" s="2"/>
    </row>
    <row r="192" spans="1:10" ht="9" customHeight="1" x14ac:dyDescent="0.35"/>
    <row r="193" spans="1:12" ht="21" x14ac:dyDescent="0.5">
      <c r="A193" s="201" t="s">
        <v>297</v>
      </c>
      <c r="L193" s="196"/>
    </row>
    <row r="194" spans="1:12" x14ac:dyDescent="0.35">
      <c r="E194" s="422" t="s">
        <v>36</v>
      </c>
      <c r="L194" s="196"/>
    </row>
    <row r="195" spans="1:12" x14ac:dyDescent="0.35">
      <c r="A195" s="195" t="s">
        <v>298</v>
      </c>
      <c r="E195" s="380">
        <v>2.881357319617905</v>
      </c>
      <c r="L195" s="196"/>
    </row>
    <row r="196" spans="1:12" x14ac:dyDescent="0.35">
      <c r="A196" s="195" t="s">
        <v>299</v>
      </c>
      <c r="E196" s="380">
        <v>0.19033683589110825</v>
      </c>
      <c r="L196" s="196"/>
    </row>
    <row r="197" spans="1:12" x14ac:dyDescent="0.35">
      <c r="L197" s="196"/>
    </row>
  </sheetData>
  <phoneticPr fontId="51" type="noConversion"/>
  <printOptions horizontalCentered="1" verticalCentered="1"/>
  <pageMargins left="0.19685039370078741" right="0.19685039370078741" top="0.39370078740157483" bottom="0.39370078740157483" header="0.19685039370078741" footer="0.19685039370078741"/>
  <pageSetup paperSize="9" scale="60" orientation="landscape" r:id="rId1"/>
  <headerFooter>
    <oddHeader xml:space="preserve">&amp;L&amp;"Calibri"&amp;11&amp;K000000File: &amp;F Sheet: &amp;A 
&amp;Cpage &amp;P of &amp;N&amp;R&amp;"Calibri"&amp;11&amp;K000000File: &amp;F Sheet: &amp;A 
</oddHeader>
  </headerFooter>
  <rowBreaks count="2" manualBreakCount="2">
    <brk id="121" max="16383" man="1"/>
    <brk id="1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9253-48C0-4910-8C72-FDC5297BD876}">
  <sheetPr codeName="Sheet6"/>
  <dimension ref="A1:T70"/>
  <sheetViews>
    <sheetView zoomScale="76" zoomScaleNormal="100" workbookViewId="0">
      <selection activeCell="G15" sqref="G15"/>
    </sheetView>
  </sheetViews>
  <sheetFormatPr defaultColWidth="8.81640625" defaultRowHeight="12" x14ac:dyDescent="0.3"/>
  <cols>
    <col min="1" max="1" width="10.1796875" style="13" customWidth="1"/>
    <col min="2" max="2" width="27.1796875" style="13" bestFit="1" customWidth="1"/>
    <col min="3" max="3" width="16.81640625" style="13" bestFit="1" customWidth="1"/>
    <col min="4" max="12" width="13.26953125" style="13" customWidth="1"/>
    <col min="13" max="13" width="10" style="13" bestFit="1" customWidth="1"/>
    <col min="14" max="16384" width="8.81640625" style="13"/>
  </cols>
  <sheetData>
    <row r="1" spans="1:20" ht="18.5" x14ac:dyDescent="0.45">
      <c r="A1" s="9" t="s">
        <v>119</v>
      </c>
      <c r="N1" s="195"/>
    </row>
    <row r="2" spans="1:20" ht="14.5" x14ac:dyDescent="0.35">
      <c r="N2" s="195"/>
    </row>
    <row r="3" spans="1:20" ht="14.5" x14ac:dyDescent="0.35">
      <c r="C3" s="292"/>
      <c r="D3" s="239" t="s">
        <v>36</v>
      </c>
      <c r="E3" s="239" t="s">
        <v>37</v>
      </c>
      <c r="F3" s="239" t="s">
        <v>40</v>
      </c>
      <c r="G3" s="239" t="s">
        <v>39</v>
      </c>
      <c r="H3" s="239" t="s">
        <v>266</v>
      </c>
      <c r="I3" s="239" t="s">
        <v>267</v>
      </c>
      <c r="J3" s="239" t="s">
        <v>268</v>
      </c>
      <c r="K3" s="239" t="s">
        <v>269</v>
      </c>
      <c r="L3" s="239" t="s">
        <v>270</v>
      </c>
      <c r="N3" s="195"/>
    </row>
    <row r="4" spans="1:20" ht="14.5" x14ac:dyDescent="0.35">
      <c r="A4" s="196" t="s">
        <v>2</v>
      </c>
      <c r="B4" s="196"/>
      <c r="C4" s="292"/>
      <c r="D4" s="463">
        <v>7.0999999999999994E-2</v>
      </c>
      <c r="E4" s="463">
        <v>7.0999999999999994E-2</v>
      </c>
      <c r="F4" s="463">
        <v>7.0999999999999994E-2</v>
      </c>
      <c r="G4" s="463">
        <v>7.0999999999999994E-2</v>
      </c>
      <c r="H4" s="463">
        <v>7.0999999999999994E-2</v>
      </c>
      <c r="I4" s="463">
        <v>7.0999999999999994E-2</v>
      </c>
      <c r="J4" s="463">
        <v>7.0999999999999994E-2</v>
      </c>
      <c r="K4" s="463">
        <v>7.0999999999999994E-2</v>
      </c>
      <c r="L4" s="463">
        <v>7.0999999999999994E-2</v>
      </c>
      <c r="N4" s="195"/>
      <c r="R4" s="196"/>
      <c r="S4" s="81"/>
    </row>
    <row r="5" spans="1:20" ht="14.5" x14ac:dyDescent="0.35">
      <c r="A5" s="196"/>
      <c r="B5" s="196"/>
      <c r="C5" s="292"/>
      <c r="D5" s="196"/>
      <c r="G5" s="34"/>
      <c r="I5" s="34"/>
      <c r="J5" s="196"/>
      <c r="K5" s="196"/>
      <c r="L5" s="196"/>
      <c r="M5" s="196"/>
      <c r="N5" s="195"/>
    </row>
    <row r="6" spans="1:20" ht="14.5" x14ac:dyDescent="0.35">
      <c r="A6" s="196" t="s">
        <v>344</v>
      </c>
      <c r="B6" s="196" t="s">
        <v>172</v>
      </c>
      <c r="C6" s="196"/>
      <c r="D6" s="366">
        <v>1000000</v>
      </c>
      <c r="E6" s="213" t="s">
        <v>172</v>
      </c>
      <c r="G6" s="34"/>
      <c r="I6" s="34"/>
      <c r="J6" s="196"/>
      <c r="K6" s="196"/>
      <c r="L6" s="196"/>
      <c r="M6" s="196"/>
      <c r="N6" s="195"/>
    </row>
    <row r="7" spans="1:20" ht="14.5" x14ac:dyDescent="0.35">
      <c r="A7" s="196"/>
      <c r="B7" s="196" t="s">
        <v>173</v>
      </c>
      <c r="C7" s="196"/>
      <c r="D7" s="366">
        <v>1000</v>
      </c>
      <c r="E7" s="213" t="s">
        <v>173</v>
      </c>
      <c r="G7" s="34"/>
      <c r="I7" s="34"/>
      <c r="J7" s="196"/>
      <c r="K7" s="196"/>
      <c r="L7" s="196"/>
      <c r="M7" s="196"/>
      <c r="N7" s="195"/>
    </row>
    <row r="8" spans="1:20" ht="14.5" x14ac:dyDescent="0.35">
      <c r="A8" s="196"/>
      <c r="B8" s="196"/>
      <c r="C8" s="196"/>
      <c r="D8" s="83"/>
      <c r="E8" s="196"/>
      <c r="F8" s="196"/>
      <c r="G8" s="34"/>
      <c r="H8" s="34"/>
      <c r="I8" s="34"/>
      <c r="J8" s="196"/>
      <c r="K8" s="196"/>
      <c r="L8" s="196"/>
      <c r="M8" s="196"/>
      <c r="N8" s="195"/>
    </row>
    <row r="9" spans="1:20" ht="14.5" x14ac:dyDescent="0.35">
      <c r="A9" s="196" t="s">
        <v>345</v>
      </c>
      <c r="B9" s="196"/>
      <c r="C9" s="196"/>
      <c r="D9" s="470">
        <v>0.74</v>
      </c>
      <c r="E9" s="213" t="s">
        <v>168</v>
      </c>
      <c r="F9" s="196"/>
      <c r="G9" s="196"/>
      <c r="H9" s="34"/>
      <c r="I9" s="88"/>
      <c r="J9" s="196"/>
      <c r="K9" s="196"/>
      <c r="L9" s="196"/>
      <c r="M9" s="196"/>
      <c r="N9" s="195"/>
    </row>
    <row r="10" spans="1:20" ht="14.5" x14ac:dyDescent="0.35">
      <c r="A10" s="196" t="s">
        <v>346</v>
      </c>
      <c r="B10" s="196"/>
      <c r="C10" s="196"/>
      <c r="D10" s="462">
        <v>0.03</v>
      </c>
      <c r="E10" s="213" t="s">
        <v>167</v>
      </c>
      <c r="F10" s="196"/>
      <c r="G10" s="196"/>
      <c r="H10" s="34"/>
      <c r="I10" s="34"/>
      <c r="J10" s="196"/>
      <c r="K10" s="196"/>
      <c r="L10" s="196"/>
      <c r="M10" s="196"/>
      <c r="N10" s="195"/>
    </row>
    <row r="11" spans="1:20" ht="14.5" x14ac:dyDescent="0.35">
      <c r="A11" s="196"/>
      <c r="B11" s="196"/>
      <c r="C11" s="196"/>
      <c r="D11" s="83"/>
      <c r="F11" s="196"/>
      <c r="G11" s="196"/>
      <c r="H11" s="34"/>
      <c r="I11" s="34"/>
      <c r="J11" s="196"/>
      <c r="K11" s="196"/>
      <c r="L11" s="196"/>
      <c r="M11" s="196"/>
      <c r="N11" s="195"/>
    </row>
    <row r="12" spans="1:20" ht="14.5" x14ac:dyDescent="0.35">
      <c r="A12" s="196" t="s">
        <v>347</v>
      </c>
      <c r="B12" s="196"/>
      <c r="C12" s="196"/>
      <c r="D12" s="367">
        <v>0.1</v>
      </c>
      <c r="E12" s="367">
        <v>0.1</v>
      </c>
      <c r="F12" s="367">
        <v>0.1</v>
      </c>
      <c r="G12" s="367">
        <v>0.1</v>
      </c>
      <c r="H12" s="462">
        <v>0.1887739413116305</v>
      </c>
      <c r="I12" s="462">
        <v>0.27754788262326108</v>
      </c>
      <c r="J12" s="462">
        <v>0.36632182393489165</v>
      </c>
      <c r="K12" s="462">
        <v>0.45509576524652223</v>
      </c>
      <c r="L12" s="462">
        <v>0.54386970655815281</v>
      </c>
      <c r="M12" s="213" t="s">
        <v>165</v>
      </c>
      <c r="N12" s="195"/>
      <c r="R12" s="196"/>
      <c r="S12" s="81"/>
    </row>
    <row r="13" spans="1:20" ht="14.5" x14ac:dyDescent="0.35">
      <c r="A13" s="196"/>
      <c r="B13" s="196"/>
      <c r="C13" s="196"/>
      <c r="D13" s="196"/>
      <c r="F13" s="196"/>
      <c r="G13" s="196"/>
      <c r="H13" s="196"/>
      <c r="I13" s="196"/>
      <c r="J13" s="196"/>
      <c r="K13" s="196"/>
      <c r="L13" s="196"/>
      <c r="M13" s="196"/>
      <c r="N13" s="195"/>
      <c r="S13" s="196"/>
      <c r="T13" s="81"/>
    </row>
    <row r="14" spans="1:20" ht="14.5" x14ac:dyDescent="0.35">
      <c r="A14" s="208" t="s">
        <v>348</v>
      </c>
      <c r="B14" s="82"/>
      <c r="C14" s="82"/>
      <c r="D14" s="245"/>
      <c r="E14" s="196"/>
      <c r="G14" s="196"/>
      <c r="H14" s="196"/>
      <c r="I14" s="196"/>
      <c r="J14" s="196"/>
      <c r="K14" s="196"/>
      <c r="L14" s="196"/>
      <c r="M14" s="196"/>
      <c r="N14" s="195"/>
      <c r="R14" s="196"/>
      <c r="S14" s="81"/>
    </row>
    <row r="15" spans="1:20" ht="14.5" x14ac:dyDescent="0.35">
      <c r="B15" s="196" t="s">
        <v>112</v>
      </c>
      <c r="C15" s="196"/>
      <c r="D15" s="462">
        <v>1</v>
      </c>
      <c r="E15" s="196"/>
      <c r="G15" s="196"/>
      <c r="H15" s="196"/>
      <c r="I15" s="196"/>
      <c r="J15" s="196"/>
      <c r="K15" s="196"/>
      <c r="L15" s="196"/>
      <c r="M15" s="196"/>
      <c r="N15" s="195"/>
      <c r="R15" s="196"/>
      <c r="S15" s="81"/>
    </row>
    <row r="16" spans="1:20" ht="14.5" x14ac:dyDescent="0.35">
      <c r="B16" s="196" t="s">
        <v>9</v>
      </c>
      <c r="C16" s="196"/>
      <c r="D16" s="462">
        <v>0.45613029344184719</v>
      </c>
      <c r="E16" s="196"/>
      <c r="G16" s="196"/>
      <c r="H16" s="196"/>
      <c r="I16" s="196"/>
      <c r="J16" s="196"/>
      <c r="K16" s="196"/>
      <c r="L16" s="196"/>
      <c r="M16" s="196"/>
      <c r="N16" s="195"/>
      <c r="R16" s="196"/>
      <c r="S16" s="81"/>
    </row>
    <row r="17" spans="1:19" ht="14.5" x14ac:dyDescent="0.35">
      <c r="B17" s="196" t="s">
        <v>10</v>
      </c>
      <c r="C17" s="196"/>
      <c r="D17" s="462">
        <v>0.25</v>
      </c>
      <c r="E17" s="196"/>
      <c r="G17" s="196"/>
      <c r="H17" s="196"/>
      <c r="I17" s="196"/>
      <c r="J17" s="196"/>
      <c r="K17" s="196"/>
      <c r="L17" s="196"/>
      <c r="M17" s="196"/>
      <c r="N17" s="195"/>
      <c r="R17" s="196"/>
      <c r="S17" s="81"/>
    </row>
    <row r="18" spans="1:19" ht="14.5" x14ac:dyDescent="0.35">
      <c r="B18" s="196" t="s">
        <v>11</v>
      </c>
      <c r="C18" s="196"/>
      <c r="D18" s="462">
        <v>0.1</v>
      </c>
      <c r="E18" s="196"/>
      <c r="G18" s="196"/>
      <c r="H18" s="196"/>
      <c r="I18" s="196"/>
      <c r="J18" s="196"/>
      <c r="K18" s="196"/>
      <c r="L18" s="196"/>
      <c r="M18" s="196"/>
      <c r="N18" s="195"/>
      <c r="R18" s="196"/>
      <c r="S18" s="81"/>
    </row>
    <row r="19" spans="1:19" ht="14.5" x14ac:dyDescent="0.35">
      <c r="B19" s="196" t="s">
        <v>12</v>
      </c>
      <c r="C19" s="196"/>
      <c r="D19" s="462">
        <v>0.15</v>
      </c>
      <c r="E19" s="196"/>
      <c r="G19" s="196"/>
      <c r="H19" s="196"/>
      <c r="I19" s="196"/>
      <c r="J19" s="196"/>
      <c r="K19" s="196"/>
      <c r="L19" s="196"/>
      <c r="M19" s="196"/>
      <c r="N19" s="195"/>
      <c r="R19" s="196"/>
      <c r="S19" s="81"/>
    </row>
    <row r="20" spans="1:19" ht="14.5" x14ac:dyDescent="0.35">
      <c r="A20" s="208"/>
      <c r="B20" s="196" t="s">
        <v>13</v>
      </c>
      <c r="C20" s="196"/>
      <c r="D20" s="462">
        <v>3.3000000000000002E-2</v>
      </c>
      <c r="E20" s="196"/>
      <c r="G20" s="196"/>
      <c r="H20" s="196"/>
      <c r="I20" s="196"/>
      <c r="J20" s="196"/>
      <c r="K20" s="196"/>
      <c r="L20" s="196"/>
      <c r="M20" s="196"/>
      <c r="N20" s="195"/>
      <c r="R20" s="196"/>
      <c r="S20" s="81"/>
    </row>
    <row r="21" spans="1:19" ht="14.5" x14ac:dyDescent="0.35">
      <c r="A21" s="196"/>
      <c r="B21" s="196"/>
      <c r="C21" s="196"/>
      <c r="D21" s="196"/>
      <c r="E21" s="196"/>
      <c r="F21" s="196"/>
      <c r="G21" s="196"/>
      <c r="H21" s="196"/>
      <c r="I21" s="196"/>
      <c r="J21" s="196"/>
      <c r="K21" s="196"/>
      <c r="L21" s="196"/>
      <c r="M21" s="196"/>
      <c r="N21" s="195"/>
    </row>
    <row r="22" spans="1:19" ht="14.5" x14ac:dyDescent="0.35">
      <c r="A22" s="196" t="s">
        <v>349</v>
      </c>
      <c r="B22" s="196"/>
      <c r="C22" s="196" t="s">
        <v>350</v>
      </c>
      <c r="D22" s="462">
        <v>1</v>
      </c>
      <c r="F22" s="196"/>
      <c r="G22" s="196"/>
      <c r="H22" s="196"/>
      <c r="I22" s="196"/>
      <c r="J22" s="196"/>
      <c r="K22" s="196"/>
      <c r="L22" s="196"/>
      <c r="M22" s="196"/>
      <c r="N22" s="195"/>
    </row>
    <row r="23" spans="1:19" ht="14.5" x14ac:dyDescent="0.35">
      <c r="A23" s="196"/>
      <c r="B23" s="196"/>
      <c r="C23" s="196" t="s">
        <v>351</v>
      </c>
      <c r="D23" s="462">
        <v>0</v>
      </c>
      <c r="F23" s="196"/>
      <c r="G23" s="196"/>
      <c r="H23" s="196"/>
      <c r="I23" s="196"/>
      <c r="J23" s="196"/>
      <c r="K23" s="196"/>
      <c r="L23" s="196"/>
      <c r="M23" s="196"/>
      <c r="N23" s="195"/>
    </row>
    <row r="24" spans="1:19" ht="14.5" x14ac:dyDescent="0.35">
      <c r="A24" s="196"/>
      <c r="B24" s="196"/>
      <c r="C24" s="196" t="s">
        <v>352</v>
      </c>
      <c r="D24" s="462">
        <v>0</v>
      </c>
      <c r="F24" s="196"/>
      <c r="G24" s="196"/>
      <c r="H24" s="196"/>
      <c r="I24" s="196"/>
      <c r="J24" s="196"/>
      <c r="K24" s="196"/>
      <c r="L24" s="196"/>
      <c r="M24" s="196"/>
      <c r="N24" s="195"/>
    </row>
    <row r="25" spans="1:19" ht="14.5" x14ac:dyDescent="0.35">
      <c r="A25" s="196"/>
      <c r="B25" s="196"/>
      <c r="C25" s="196" t="s">
        <v>1</v>
      </c>
      <c r="D25" s="89">
        <f>SUM(D22:D24)</f>
        <v>1</v>
      </c>
      <c r="F25" s="196"/>
      <c r="G25" s="196"/>
      <c r="H25" s="196"/>
      <c r="I25" s="196"/>
      <c r="J25" s="196"/>
      <c r="K25" s="196"/>
      <c r="L25" s="196"/>
      <c r="M25" s="196"/>
      <c r="N25" s="195"/>
    </row>
    <row r="26" spans="1:19" ht="14.5" x14ac:dyDescent="0.35">
      <c r="A26" s="196"/>
      <c r="B26" s="196"/>
      <c r="C26" s="196"/>
      <c r="D26" s="196"/>
      <c r="E26" s="196"/>
      <c r="F26" s="196"/>
      <c r="G26" s="196"/>
      <c r="H26" s="196"/>
      <c r="I26" s="196"/>
      <c r="J26" s="196"/>
      <c r="K26" s="196"/>
      <c r="L26" s="196"/>
      <c r="M26" s="196"/>
      <c r="N26" s="195"/>
    </row>
    <row r="27" spans="1:19" ht="14.5" x14ac:dyDescent="0.35">
      <c r="A27" s="196" t="s">
        <v>353</v>
      </c>
      <c r="B27" s="196"/>
      <c r="C27" s="196"/>
      <c r="D27" s="470">
        <v>1.8</v>
      </c>
      <c r="F27" s="196"/>
      <c r="G27" s="196"/>
      <c r="H27" s="196"/>
      <c r="I27" s="196"/>
      <c r="J27" s="196"/>
      <c r="K27" s="196"/>
      <c r="L27" s="196"/>
      <c r="M27" s="196"/>
      <c r="N27" s="195"/>
    </row>
    <row r="28" spans="1:19" ht="14.5" x14ac:dyDescent="0.35">
      <c r="A28" s="196" t="s">
        <v>354</v>
      </c>
      <c r="B28" s="196"/>
      <c r="C28" s="196"/>
      <c r="D28" s="470">
        <v>1</v>
      </c>
      <c r="E28" s="213" t="s">
        <v>169</v>
      </c>
      <c r="F28" s="196"/>
      <c r="G28" s="196"/>
      <c r="H28" s="196"/>
      <c r="I28" s="196"/>
      <c r="J28" s="196"/>
      <c r="K28" s="196"/>
      <c r="L28" s="196"/>
      <c r="M28" s="196"/>
      <c r="N28" s="195"/>
    </row>
    <row r="29" spans="1:19" ht="14.5" x14ac:dyDescent="0.35">
      <c r="A29" s="196"/>
      <c r="B29" s="196"/>
      <c r="C29" s="196"/>
      <c r="D29" s="196"/>
      <c r="E29" s="196"/>
      <c r="F29" s="196"/>
      <c r="G29" s="196"/>
      <c r="H29" s="196"/>
      <c r="I29" s="196"/>
      <c r="J29" s="196"/>
      <c r="K29" s="196"/>
      <c r="L29" s="196"/>
      <c r="M29" s="196"/>
      <c r="N29" s="195"/>
    </row>
    <row r="30" spans="1:19" ht="14.5" x14ac:dyDescent="0.35">
      <c r="A30" s="196" t="s">
        <v>355</v>
      </c>
      <c r="B30" s="117"/>
      <c r="C30" s="87" t="s">
        <v>29</v>
      </c>
      <c r="D30" s="470">
        <v>0</v>
      </c>
      <c r="F30" s="196"/>
      <c r="G30" s="196"/>
      <c r="H30" s="196"/>
      <c r="I30" s="196"/>
      <c r="J30" s="196"/>
      <c r="K30" s="196"/>
      <c r="L30" s="196"/>
      <c r="M30" s="196"/>
      <c r="N30" s="195"/>
    </row>
    <row r="31" spans="1:19" ht="14.5" x14ac:dyDescent="0.35">
      <c r="A31" s="196"/>
      <c r="B31" s="117"/>
      <c r="C31" s="87" t="s">
        <v>30</v>
      </c>
      <c r="D31" s="470">
        <v>2</v>
      </c>
      <c r="F31" s="196"/>
      <c r="G31" s="196"/>
      <c r="H31" s="196"/>
      <c r="I31" s="196"/>
      <c r="J31" s="196"/>
      <c r="K31" s="196"/>
      <c r="L31" s="196"/>
      <c r="M31" s="196"/>
      <c r="N31" s="195"/>
    </row>
    <row r="32" spans="1:19" ht="14.5" x14ac:dyDescent="0.35">
      <c r="N32" s="195"/>
    </row>
    <row r="33" spans="1:14" ht="14.5" x14ac:dyDescent="0.35">
      <c r="N33" s="195"/>
    </row>
    <row r="34" spans="1:14" ht="18.5" x14ac:dyDescent="0.35">
      <c r="A34" s="234" t="s">
        <v>356</v>
      </c>
      <c r="B34" s="196"/>
      <c r="D34" s="239" t="s">
        <v>36</v>
      </c>
      <c r="E34" s="239" t="s">
        <v>37</v>
      </c>
      <c r="F34" s="239" t="s">
        <v>40</v>
      </c>
      <c r="G34" s="239" t="s">
        <v>39</v>
      </c>
      <c r="H34" s="239" t="s">
        <v>266</v>
      </c>
      <c r="I34" s="239" t="s">
        <v>267</v>
      </c>
      <c r="J34" s="239" t="s">
        <v>268</v>
      </c>
      <c r="K34" s="239" t="s">
        <v>269</v>
      </c>
      <c r="L34" s="239" t="s">
        <v>270</v>
      </c>
      <c r="N34" s="195"/>
    </row>
    <row r="35" spans="1:14" ht="14.5" x14ac:dyDescent="0.35">
      <c r="A35" s="240" t="s">
        <v>357</v>
      </c>
      <c r="B35" s="196"/>
      <c r="D35" s="246" t="s">
        <v>358</v>
      </c>
      <c r="E35" s="246" t="s">
        <v>358</v>
      </c>
      <c r="F35" s="246" t="s">
        <v>358</v>
      </c>
      <c r="G35" s="246" t="s">
        <v>358</v>
      </c>
      <c r="H35" s="246" t="s">
        <v>359</v>
      </c>
      <c r="I35" s="246" t="s">
        <v>359</v>
      </c>
      <c r="J35" s="246" t="s">
        <v>359</v>
      </c>
      <c r="K35" s="246" t="s">
        <v>359</v>
      </c>
      <c r="L35" s="246" t="s">
        <v>359</v>
      </c>
      <c r="N35" s="195"/>
    </row>
    <row r="36" spans="1:14" ht="14.5" x14ac:dyDescent="0.35">
      <c r="A36" s="240" t="s">
        <v>360</v>
      </c>
      <c r="B36" s="196"/>
      <c r="D36" s="367">
        <v>0.12873938663127604</v>
      </c>
      <c r="E36" s="367">
        <v>7.4787643228200862E-2</v>
      </c>
      <c r="F36" s="367">
        <v>3.3557004069397545E-2</v>
      </c>
      <c r="G36" s="367">
        <v>3.4814649098156014E-2</v>
      </c>
      <c r="H36" s="461">
        <v>0.02</v>
      </c>
      <c r="I36" s="461">
        <v>0.02</v>
      </c>
      <c r="J36" s="461">
        <v>0.02</v>
      </c>
      <c r="K36" s="461">
        <v>0.02</v>
      </c>
      <c r="L36" s="461">
        <v>0.02</v>
      </c>
      <c r="M36" s="341" t="s">
        <v>271</v>
      </c>
      <c r="N36" s="195"/>
    </row>
    <row r="37" spans="1:14" ht="14.5" x14ac:dyDescent="0.35">
      <c r="A37" s="196" t="s">
        <v>361</v>
      </c>
      <c r="B37" s="196"/>
      <c r="D37" s="246" t="s">
        <v>114</v>
      </c>
      <c r="E37" s="246" t="s">
        <v>114</v>
      </c>
      <c r="F37" s="246" t="s">
        <v>114</v>
      </c>
      <c r="G37" s="246" t="s">
        <v>114</v>
      </c>
      <c r="H37" s="246" t="s">
        <v>114</v>
      </c>
      <c r="I37" s="246" t="s">
        <v>114</v>
      </c>
      <c r="J37" s="246" t="s">
        <v>114</v>
      </c>
      <c r="K37" s="246" t="s">
        <v>114</v>
      </c>
      <c r="L37" s="246" t="s">
        <v>114</v>
      </c>
      <c r="N37" s="195"/>
    </row>
    <row r="38" spans="1:14" ht="14.5" x14ac:dyDescent="0.35">
      <c r="A38" s="196" t="s">
        <v>362</v>
      </c>
      <c r="B38" s="196"/>
      <c r="D38" s="367">
        <v>0.10036409874522789</v>
      </c>
      <c r="E38" s="367">
        <v>5.6703919580784135E-2</v>
      </c>
      <c r="F38" s="367">
        <v>2.2608687962007545E-2</v>
      </c>
      <c r="G38" s="367">
        <v>2.5861655271887107E-2</v>
      </c>
      <c r="H38" s="367">
        <v>2.1778243527577512E-2</v>
      </c>
      <c r="I38" s="367">
        <v>2.1112015247234828E-2</v>
      </c>
      <c r="J38" s="367">
        <v>2.0605611437519933E-2</v>
      </c>
      <c r="K38" s="367">
        <v>2.0170109706586503E-2</v>
      </c>
      <c r="L38" s="367">
        <v>0.02</v>
      </c>
      <c r="M38" s="341" t="s">
        <v>272</v>
      </c>
      <c r="N38" s="195"/>
    </row>
    <row r="39" spans="1:14" ht="14.5" x14ac:dyDescent="0.35">
      <c r="A39" s="196" t="s">
        <v>114</v>
      </c>
      <c r="B39" s="196"/>
      <c r="D39" s="367">
        <v>0.10036409874522789</v>
      </c>
      <c r="E39" s="367">
        <v>5.6703919580784135E-2</v>
      </c>
      <c r="F39" s="367">
        <v>2.2608687962007545E-2</v>
      </c>
      <c r="G39" s="367">
        <v>2.5861655271887107E-2</v>
      </c>
      <c r="H39" s="367">
        <v>2.1778243527577512E-2</v>
      </c>
      <c r="I39" s="367">
        <v>2.1112015247234828E-2</v>
      </c>
      <c r="J39" s="367">
        <v>2.0605611437519933E-2</v>
      </c>
      <c r="K39" s="367">
        <v>2.0170109706586503E-2</v>
      </c>
      <c r="L39" s="367">
        <v>0.02</v>
      </c>
      <c r="M39" s="341" t="s">
        <v>114</v>
      </c>
      <c r="N39" s="195"/>
    </row>
    <row r="40" spans="1:14" ht="14.5" x14ac:dyDescent="0.35">
      <c r="N40" s="195"/>
    </row>
    <row r="41" spans="1:14" s="195" customFormat="1" ht="18.5" x14ac:dyDescent="0.45">
      <c r="A41" s="9" t="s">
        <v>313</v>
      </c>
      <c r="B41" s="12"/>
      <c r="C41" s="12"/>
      <c r="D41" s="12"/>
      <c r="E41" s="12"/>
      <c r="G41" s="12"/>
      <c r="H41" s="12"/>
      <c r="I41" s="12"/>
      <c r="J41" s="12"/>
      <c r="K41" s="12"/>
      <c r="L41" s="12"/>
      <c r="M41" s="12"/>
    </row>
    <row r="42" spans="1:14" ht="14.5" x14ac:dyDescent="0.35">
      <c r="A42" s="17"/>
      <c r="C42" s="87"/>
      <c r="D42" s="83"/>
      <c r="F42" s="196"/>
      <c r="G42" s="196"/>
      <c r="H42" s="196"/>
      <c r="I42" s="196"/>
      <c r="J42" s="196"/>
      <c r="K42" s="196"/>
      <c r="L42" s="196"/>
      <c r="M42" s="196"/>
      <c r="N42" s="195"/>
    </row>
    <row r="43" spans="1:14" ht="14.5" x14ac:dyDescent="0.35">
      <c r="A43" s="87" t="s">
        <v>313</v>
      </c>
      <c r="B43" s="87" t="s">
        <v>329</v>
      </c>
      <c r="C43" s="87" t="s">
        <v>330</v>
      </c>
      <c r="D43" s="470">
        <v>40</v>
      </c>
      <c r="E43" s="213" t="s">
        <v>331</v>
      </c>
      <c r="G43" s="196"/>
      <c r="H43" s="196"/>
      <c r="I43" s="196"/>
      <c r="J43" s="196"/>
      <c r="K43" s="196"/>
      <c r="L43" s="196"/>
      <c r="M43" s="196"/>
      <c r="N43" s="195"/>
    </row>
    <row r="44" spans="1:14" ht="14.5" x14ac:dyDescent="0.35">
      <c r="A44" s="196"/>
      <c r="B44" s="87" t="s">
        <v>332</v>
      </c>
      <c r="C44" s="87" t="s">
        <v>330</v>
      </c>
      <c r="D44" s="470">
        <v>40</v>
      </c>
      <c r="E44" s="213" t="s">
        <v>333</v>
      </c>
      <c r="G44" s="196"/>
      <c r="H44" s="196"/>
      <c r="I44" s="196"/>
      <c r="J44" s="196"/>
      <c r="K44" s="196"/>
      <c r="L44" s="196"/>
      <c r="M44" s="196"/>
      <c r="N44" s="195"/>
    </row>
    <row r="45" spans="1:14" ht="14.5" x14ac:dyDescent="0.35">
      <c r="N45" s="195"/>
    </row>
    <row r="46" spans="1:14" ht="14.5" x14ac:dyDescent="0.35">
      <c r="N46" s="195"/>
    </row>
    <row r="47" spans="1:14" ht="18.5" x14ac:dyDescent="0.45">
      <c r="A47" s="9" t="s">
        <v>341</v>
      </c>
      <c r="B47" s="195"/>
      <c r="C47" s="206"/>
      <c r="D47" s="49"/>
      <c r="E47" s="195"/>
      <c r="F47" s="195"/>
      <c r="N47" s="195"/>
    </row>
    <row r="48" spans="1:14" ht="14.5" x14ac:dyDescent="0.35">
      <c r="N48" s="195"/>
    </row>
    <row r="49" spans="1:15" s="195" customFormat="1" ht="15.5" x14ac:dyDescent="0.35">
      <c r="A49" s="261" t="s">
        <v>334</v>
      </c>
      <c r="B49" s="196"/>
      <c r="C49" s="50"/>
      <c r="D49" s="303"/>
      <c r="E49" s="304"/>
    </row>
    <row r="50" spans="1:15" s="195" customFormat="1" ht="14.5" x14ac:dyDescent="0.35">
      <c r="A50" s="76"/>
      <c r="B50" s="196"/>
      <c r="C50" s="196"/>
      <c r="D50" s="113"/>
      <c r="E50" s="213"/>
    </row>
    <row r="51" spans="1:15" s="195" customFormat="1" ht="14.5" x14ac:dyDescent="0.35">
      <c r="A51" s="76"/>
      <c r="B51" s="196"/>
      <c r="C51" s="196"/>
      <c r="D51" s="39" t="s">
        <v>36</v>
      </c>
      <c r="E51" s="39" t="s">
        <v>37</v>
      </c>
      <c r="F51" s="39" t="s">
        <v>40</v>
      </c>
      <c r="G51" s="39" t="s">
        <v>39</v>
      </c>
      <c r="H51" s="39" t="s">
        <v>266</v>
      </c>
      <c r="I51" s="39" t="s">
        <v>267</v>
      </c>
      <c r="J51" s="39" t="s">
        <v>268</v>
      </c>
      <c r="K51" s="39" t="s">
        <v>269</v>
      </c>
      <c r="L51" s="39" t="s">
        <v>270</v>
      </c>
    </row>
    <row r="52" spans="1:15" s="195" customFormat="1" ht="15" thickBot="1" x14ac:dyDescent="0.4">
      <c r="B52" s="87" t="s">
        <v>335</v>
      </c>
      <c r="C52" s="196"/>
      <c r="D52" s="457">
        <v>4111323</v>
      </c>
      <c r="E52" s="459">
        <f>D55</f>
        <v>4117508</v>
      </c>
      <c r="F52" s="459">
        <f t="shared" ref="F52:L52" si="0">E55</f>
        <v>4150997.5890000002</v>
      </c>
      <c r="G52" s="459">
        <f t="shared" si="0"/>
        <v>4181996.0441126823</v>
      </c>
      <c r="H52" s="459">
        <f t="shared" si="0"/>
        <v>4208698.2381485514</v>
      </c>
      <c r="I52" s="459">
        <f t="shared" si="0"/>
        <v>4233944.1611500941</v>
      </c>
      <c r="J52" s="459">
        <f t="shared" si="0"/>
        <v>4245471.2228427185</v>
      </c>
      <c r="K52" s="459">
        <f t="shared" si="0"/>
        <v>4255233.440346797</v>
      </c>
      <c r="L52" s="459">
        <f t="shared" si="0"/>
        <v>4265839.3062771531</v>
      </c>
      <c r="M52" s="213"/>
    </row>
    <row r="53" spans="1:15" s="195" customFormat="1" ht="15" thickBot="1" x14ac:dyDescent="0.4">
      <c r="B53" s="87" t="s">
        <v>336</v>
      </c>
      <c r="C53" s="196"/>
      <c r="D53" s="465"/>
      <c r="E53" s="469">
        <v>80603.808999999994</v>
      </c>
      <c r="F53" s="469">
        <v>74491.90216206538</v>
      </c>
      <c r="G53" s="469">
        <v>63334.248482687166</v>
      </c>
      <c r="H53" s="469">
        <v>65665.512406790396</v>
      </c>
      <c r="I53" s="469">
        <v>40627.800908839112</v>
      </c>
      <c r="J53" s="469">
        <v>42991.244129153078</v>
      </c>
      <c r="K53" s="469">
        <v>45955.894254904306</v>
      </c>
      <c r="L53" s="469">
        <v>48149.465906527272</v>
      </c>
      <c r="M53" s="213"/>
    </row>
    <row r="54" spans="1:15" s="195" customFormat="1" ht="15" thickBot="1" x14ac:dyDescent="0.4">
      <c r="B54" s="87" t="s">
        <v>337</v>
      </c>
      <c r="C54" s="196"/>
      <c r="D54" s="465"/>
      <c r="E54" s="469">
        <v>-47114.219999999994</v>
      </c>
      <c r="F54" s="469">
        <v>-43493.447049383154</v>
      </c>
      <c r="G54" s="469">
        <v>-36632.054446818343</v>
      </c>
      <c r="H54" s="469">
        <v>-40419.589405247985</v>
      </c>
      <c r="I54" s="469">
        <v>-29100.739216214912</v>
      </c>
      <c r="J54" s="469">
        <v>-33229.026625074875</v>
      </c>
      <c r="K54" s="469">
        <v>-35350.02832454774</v>
      </c>
      <c r="L54" s="469">
        <v>-34289.527474811308</v>
      </c>
      <c r="M54" s="213"/>
    </row>
    <row r="55" spans="1:15" s="195" customFormat="1" ht="14.5" x14ac:dyDescent="0.35">
      <c r="B55" s="87" t="s">
        <v>338</v>
      </c>
      <c r="C55" s="196"/>
      <c r="D55" s="457">
        <v>4117508</v>
      </c>
      <c r="E55" s="369">
        <f>SUM(E52:E54)</f>
        <v>4150997.5890000002</v>
      </c>
      <c r="F55" s="369">
        <f t="shared" ref="F55:L55" si="1">SUM(F52:F54)</f>
        <v>4181996.0441126823</v>
      </c>
      <c r="G55" s="369">
        <f t="shared" si="1"/>
        <v>4208698.2381485514</v>
      </c>
      <c r="H55" s="369">
        <f t="shared" si="1"/>
        <v>4233944.1611500941</v>
      </c>
      <c r="I55" s="369">
        <f t="shared" si="1"/>
        <v>4245471.2228427185</v>
      </c>
      <c r="J55" s="369">
        <f t="shared" si="1"/>
        <v>4255233.440346797</v>
      </c>
      <c r="K55" s="369">
        <f t="shared" si="1"/>
        <v>4265839.3062771531</v>
      </c>
      <c r="L55" s="369">
        <f t="shared" si="1"/>
        <v>4279699.2447088687</v>
      </c>
      <c r="M55" s="213"/>
    </row>
    <row r="56" spans="1:15" s="195" customFormat="1" ht="14.5" x14ac:dyDescent="0.35">
      <c r="C56" s="196"/>
      <c r="E56" s="260"/>
      <c r="F56" s="260"/>
      <c r="G56" s="260"/>
      <c r="H56" s="260"/>
      <c r="I56" s="260"/>
      <c r="J56" s="260"/>
      <c r="K56" s="260"/>
      <c r="L56" s="260"/>
      <c r="M56" s="213"/>
    </row>
    <row r="57" spans="1:15" ht="18.5" x14ac:dyDescent="0.45">
      <c r="A57" s="262" t="s">
        <v>115</v>
      </c>
      <c r="C57" s="196"/>
      <c r="D57" s="305"/>
      <c r="E57" s="213"/>
      <c r="N57" s="195"/>
    </row>
    <row r="58" spans="1:15" ht="14.5" x14ac:dyDescent="0.35">
      <c r="N58" s="195"/>
    </row>
    <row r="59" spans="1:15" ht="15" thickBot="1" x14ac:dyDescent="0.4">
      <c r="B59" s="263" t="s">
        <v>339</v>
      </c>
      <c r="D59" s="39" t="s">
        <v>36</v>
      </c>
      <c r="E59" s="39" t="s">
        <v>37</v>
      </c>
      <c r="F59" s="39" t="s">
        <v>40</v>
      </c>
      <c r="G59" s="39" t="s">
        <v>39</v>
      </c>
      <c r="H59" s="39" t="s">
        <v>266</v>
      </c>
      <c r="I59" s="39" t="s">
        <v>267</v>
      </c>
      <c r="J59" s="39" t="s">
        <v>268</v>
      </c>
      <c r="K59" s="39" t="s">
        <v>269</v>
      </c>
      <c r="L59" s="39" t="s">
        <v>270</v>
      </c>
      <c r="N59" s="195"/>
    </row>
    <row r="60" spans="1:15" ht="15" thickBot="1" x14ac:dyDescent="0.4">
      <c r="A60" s="196"/>
      <c r="B60" s="87" t="s">
        <v>9</v>
      </c>
      <c r="C60" s="196"/>
      <c r="D60" s="458">
        <v>1.1343929101693906E-2</v>
      </c>
      <c r="E60" s="458">
        <v>1.258930038890882E-2</v>
      </c>
      <c r="F60" s="458">
        <v>1.3258191932130403E-2</v>
      </c>
      <c r="G60" s="458">
        <v>1.1410458220303399E-2</v>
      </c>
      <c r="H60" s="458">
        <v>8.62472597445052E-3</v>
      </c>
      <c r="I60" s="458">
        <v>5.906181420883172E-3</v>
      </c>
      <c r="J60" s="458">
        <v>4.0938624283102243E-3</v>
      </c>
      <c r="K60" s="458">
        <v>4.0981873965542093E-3</v>
      </c>
      <c r="L60" s="458">
        <v>0</v>
      </c>
      <c r="N60" s="195"/>
    </row>
    <row r="61" spans="1:15" ht="15" thickBot="1" x14ac:dyDescent="0.4">
      <c r="A61" s="196"/>
      <c r="B61" s="87" t="s">
        <v>10</v>
      </c>
      <c r="C61" s="196"/>
      <c r="D61" s="458">
        <v>2.1660222597263967E-4</v>
      </c>
      <c r="E61" s="458">
        <v>1.5588253911658079E-4</v>
      </c>
      <c r="F61" s="458">
        <v>1.6236243704947917E-4</v>
      </c>
      <c r="G61" s="458">
        <v>1.5817686466923497E-4</v>
      </c>
      <c r="H61" s="458">
        <v>1.5213871017438763E-4</v>
      </c>
      <c r="I61" s="458">
        <v>1.272645696228647E-4</v>
      </c>
      <c r="J61" s="458">
        <v>1.1798860512834963E-4</v>
      </c>
      <c r="K61" s="458">
        <v>1.1457156953342817E-4</v>
      </c>
      <c r="L61" s="458">
        <v>0</v>
      </c>
      <c r="N61" s="195"/>
    </row>
    <row r="62" spans="1:15" ht="15" thickBot="1" x14ac:dyDescent="0.4">
      <c r="A62" s="196"/>
      <c r="B62" s="87" t="s">
        <v>11</v>
      </c>
      <c r="C62" s="196"/>
      <c r="D62" s="458">
        <v>1.9475338070451542E-5</v>
      </c>
      <c r="E62" s="458">
        <v>9.8400190053915537E-6</v>
      </c>
      <c r="F62" s="458">
        <v>7.2276449754049565E-6</v>
      </c>
      <c r="G62" s="458">
        <v>8.2246063866087127E-6</v>
      </c>
      <c r="H62" s="458">
        <v>6.6473212663176184E-6</v>
      </c>
      <c r="I62" s="458">
        <v>4.816706728139053E-6</v>
      </c>
      <c r="J62" s="458">
        <v>3.6370321618850454E-6</v>
      </c>
      <c r="K62" s="458">
        <v>3.381444630523589E-6</v>
      </c>
      <c r="L62" s="458">
        <v>0</v>
      </c>
      <c r="N62" s="195"/>
      <c r="O62" s="468"/>
    </row>
    <row r="63" spans="1:15" ht="15" thickBot="1" x14ac:dyDescent="0.4">
      <c r="A63" s="196"/>
      <c r="B63" s="87" t="s">
        <v>13</v>
      </c>
      <c r="C63" s="196"/>
      <c r="D63" s="458">
        <v>0</v>
      </c>
      <c r="E63" s="458">
        <v>0</v>
      </c>
      <c r="F63" s="458">
        <v>0</v>
      </c>
      <c r="G63" s="458">
        <v>0</v>
      </c>
      <c r="H63" s="458">
        <v>0</v>
      </c>
      <c r="I63" s="458">
        <v>0</v>
      </c>
      <c r="J63" s="458">
        <v>0</v>
      </c>
      <c r="K63" s="458">
        <v>0</v>
      </c>
      <c r="L63" s="458">
        <v>0</v>
      </c>
      <c r="N63" s="195"/>
      <c r="O63" s="468"/>
    </row>
    <row r="64" spans="1:15" ht="15" thickBot="1" x14ac:dyDescent="0.4">
      <c r="A64" s="196"/>
      <c r="B64" s="87" t="s">
        <v>12</v>
      </c>
      <c r="C64" s="196"/>
      <c r="D64" s="458">
        <v>3.6916909694171274E-3</v>
      </c>
      <c r="E64" s="458">
        <v>3.3074804731805241E-3</v>
      </c>
      <c r="F64" s="458">
        <v>3.5592190054627437E-3</v>
      </c>
      <c r="G64" s="458">
        <v>3.2374163510267007E-3</v>
      </c>
      <c r="H64" s="458">
        <v>2.4962352745461214E-3</v>
      </c>
      <c r="I64" s="458">
        <v>1.8576434463093427E-3</v>
      </c>
      <c r="J64" s="458">
        <v>1.3680580260542197E-3</v>
      </c>
      <c r="K64" s="458">
        <v>1.2364010452059482E-3</v>
      </c>
      <c r="L64" s="458">
        <v>0</v>
      </c>
      <c r="N64" s="195"/>
      <c r="O64" s="468"/>
    </row>
    <row r="65" spans="1:14" ht="14.5" x14ac:dyDescent="0.35">
      <c r="A65" s="196"/>
      <c r="B65" s="196"/>
      <c r="C65" s="196"/>
      <c r="D65" s="113">
        <v>0</v>
      </c>
      <c r="E65" s="113">
        <v>0</v>
      </c>
      <c r="F65" s="113">
        <v>0</v>
      </c>
      <c r="G65" s="113">
        <v>0</v>
      </c>
      <c r="H65" s="113">
        <v>0</v>
      </c>
      <c r="I65" s="113">
        <v>0</v>
      </c>
      <c r="J65" s="113">
        <v>0</v>
      </c>
      <c r="K65" s="113">
        <v>0</v>
      </c>
      <c r="L65" s="113">
        <v>0</v>
      </c>
      <c r="N65" s="195"/>
    </row>
    <row r="66" spans="1:14" ht="15" thickBot="1" x14ac:dyDescent="0.4">
      <c r="A66" s="196" t="s">
        <v>340</v>
      </c>
      <c r="B66" s="263"/>
      <c r="C66" s="196"/>
      <c r="D66" s="113"/>
      <c r="E66" s="213"/>
      <c r="F66" s="195"/>
      <c r="G66" s="195"/>
      <c r="H66" s="195"/>
      <c r="I66" s="195"/>
      <c r="J66" s="195"/>
      <c r="K66" s="195"/>
      <c r="L66" s="195"/>
      <c r="N66" s="195"/>
    </row>
    <row r="67" spans="1:14" ht="15" thickBot="1" x14ac:dyDescent="0.4">
      <c r="A67" s="196"/>
      <c r="B67" s="87" t="s">
        <v>303</v>
      </c>
      <c r="C67" s="196"/>
      <c r="D67" s="368"/>
      <c r="E67" s="467">
        <v>452.75054398428767</v>
      </c>
      <c r="F67" s="467">
        <v>463.65602967067446</v>
      </c>
      <c r="G67" s="467">
        <v>487.87987979736283</v>
      </c>
      <c r="H67" s="467">
        <v>467.41606356310302</v>
      </c>
      <c r="I67" s="467">
        <v>305.69228569423274</v>
      </c>
      <c r="J67" s="467">
        <v>230.4058724962245</v>
      </c>
      <c r="K67" s="467">
        <v>230.4058724962245</v>
      </c>
      <c r="L67" s="467">
        <v>230.4058724962245</v>
      </c>
      <c r="N67" s="195"/>
    </row>
    <row r="68" spans="1:14" ht="15" thickBot="1" x14ac:dyDescent="0.4">
      <c r="A68" s="196"/>
      <c r="B68" s="87" t="s">
        <v>304</v>
      </c>
      <c r="C68" s="196"/>
      <c r="D68" s="368"/>
      <c r="E68" s="467">
        <v>73.66249884064257</v>
      </c>
      <c r="F68" s="467">
        <v>85.374013276484703</v>
      </c>
      <c r="G68" s="467">
        <v>77.52989443261184</v>
      </c>
      <c r="H68" s="467">
        <v>68.04561693458669</v>
      </c>
      <c r="I68" s="467">
        <v>58.964444634067476</v>
      </c>
      <c r="J68" s="467">
        <v>56.28164369515023</v>
      </c>
      <c r="K68" s="467">
        <v>56.76387108500947</v>
      </c>
      <c r="L68" s="467">
        <v>59.175008034305677</v>
      </c>
      <c r="N68" s="195"/>
    </row>
    <row r="69" spans="1:14" ht="15" thickBot="1" x14ac:dyDescent="0.4">
      <c r="B69" s="87" t="s">
        <v>286</v>
      </c>
      <c r="D69" s="368"/>
      <c r="E69" s="467">
        <v>30.168243058811026</v>
      </c>
      <c r="F69" s="467">
        <v>33.952940631334755</v>
      </c>
      <c r="G69" s="467">
        <v>29.845335261487843</v>
      </c>
      <c r="H69" s="467">
        <v>29.721576860062473</v>
      </c>
      <c r="I69" s="467">
        <v>26.179818508982979</v>
      </c>
      <c r="J69" s="467">
        <v>24.492497776063754</v>
      </c>
      <c r="K69" s="467">
        <v>24.374965834679163</v>
      </c>
      <c r="L69" s="467">
        <v>22.566567070625805</v>
      </c>
      <c r="N69" s="195"/>
    </row>
    <row r="70" spans="1:14" ht="15" thickBot="1" x14ac:dyDescent="0.4">
      <c r="B70" s="87" t="s">
        <v>290</v>
      </c>
      <c r="D70" s="368"/>
      <c r="E70" s="467">
        <v>22.050155446695268</v>
      </c>
      <c r="F70" s="467">
        <v>27.222284609127371</v>
      </c>
      <c r="G70" s="467">
        <v>25.929406607273638</v>
      </c>
      <c r="H70" s="467">
        <v>19.760055335081553</v>
      </c>
      <c r="I70" s="467">
        <v>22.414567109999343</v>
      </c>
      <c r="J70" s="467">
        <v>24.593596882821345</v>
      </c>
      <c r="K70" s="467">
        <v>25.075824272680585</v>
      </c>
      <c r="L70" s="467">
        <v>27.486961221976792</v>
      </c>
      <c r="N70" s="195"/>
    </row>
  </sheetData>
  <phoneticPr fontId="51" type="noConversion"/>
  <pageMargins left="0.19685039370078741" right="0.19685039370078741" top="0.39370078740157483" bottom="0.39370078740157483" header="0.19685039370078741" footer="0.19685039370078741"/>
  <pageSetup paperSize="9" scale="65" orientation="landscape" r:id="rId1"/>
  <headerFooter>
    <oddHeader>&amp;L&amp;"Calibri"&amp;11&amp;K000000File: &amp;F Sheet: &amp;A&amp;CPrinted: &amp;D &amp;T&amp;R&amp;"Calibri"&amp;11&amp;K000000File: &amp;F Sheet: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F121-8B0A-4CF9-BFDD-E559B17A4759}">
  <sheetPr codeName="Sheet7">
    <tabColor rgb="FF7030A0"/>
  </sheetPr>
  <dimension ref="A1"/>
  <sheetViews>
    <sheetView workbookViewId="0">
      <selection activeCell="L27" sqref="L27"/>
    </sheetView>
  </sheetViews>
  <sheetFormatPr defaultRowHeight="14.5" x14ac:dyDescent="0.3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C260-1ED3-4CDD-98EC-0AE09AF4C3A5}">
  <sheetPr codeName="Sheet8">
    <pageSetUpPr autoPageBreaks="0" fitToPage="1"/>
  </sheetPr>
  <dimension ref="A1:R13"/>
  <sheetViews>
    <sheetView defaultGridColor="0" colorId="22" zoomScale="90" zoomScaleNormal="90" workbookViewId="0">
      <pane ySplit="1" topLeftCell="A2" activePane="bottomLeft" state="frozen"/>
      <selection activeCell="G13" sqref="G13"/>
      <selection pane="bottomLeft" activeCell="H11" sqref="H11"/>
    </sheetView>
  </sheetViews>
  <sheetFormatPr defaultColWidth="0" defaultRowHeight="0" customHeight="1" zeroHeight="1" x14ac:dyDescent="0.35"/>
  <cols>
    <col min="1" max="1" width="4" style="12" customWidth="1"/>
    <col min="2" max="2" width="28" style="12" bestFit="1" customWidth="1"/>
    <col min="3" max="3" width="3" style="12" customWidth="1"/>
    <col min="4" max="4" width="11.453125" style="12" customWidth="1"/>
    <col min="5" max="13" width="14.54296875" style="12" customWidth="1"/>
    <col min="14" max="14" width="40.54296875" style="12" customWidth="1"/>
    <col min="15" max="18" width="9.1796875" style="12" customWidth="1"/>
    <col min="19" max="16384" width="11.453125" style="12" hidden="1"/>
  </cols>
  <sheetData>
    <row r="1" spans="1:13" s="14" customFormat="1" ht="24.65" customHeight="1" x14ac:dyDescent="0.35">
      <c r="A1" s="16" t="s">
        <v>28</v>
      </c>
      <c r="G1" s="15"/>
      <c r="H1" s="15"/>
      <c r="I1" s="15"/>
      <c r="J1" s="15"/>
      <c r="K1" s="15"/>
      <c r="L1" s="15"/>
      <c r="M1" s="15"/>
    </row>
    <row r="2" spans="1:13" ht="12" x14ac:dyDescent="0.35"/>
    <row r="3" spans="1:13" ht="15.5" x14ac:dyDescent="0.35">
      <c r="A3" s="78" t="s">
        <v>74</v>
      </c>
      <c r="E3" s="32" t="s">
        <v>36</v>
      </c>
      <c r="F3" s="32" t="s">
        <v>37</v>
      </c>
      <c r="G3" s="32" t="s">
        <v>40</v>
      </c>
      <c r="H3" s="32" t="s">
        <v>39</v>
      </c>
      <c r="I3" s="32" t="s">
        <v>266</v>
      </c>
      <c r="J3" s="32" t="s">
        <v>267</v>
      </c>
      <c r="K3" s="32" t="s">
        <v>268</v>
      </c>
      <c r="L3" s="32" t="s">
        <v>269</v>
      </c>
      <c r="M3" s="32" t="s">
        <v>270</v>
      </c>
    </row>
    <row r="4" spans="1:13" ht="12.5" thickBot="1" x14ac:dyDescent="0.4"/>
    <row r="5" spans="1:13" s="17" customFormat="1" ht="15" thickBot="1" x14ac:dyDescent="0.4">
      <c r="B5" s="123" t="s">
        <v>75</v>
      </c>
      <c r="C5" s="123"/>
      <c r="D5" s="123"/>
      <c r="E5" s="264">
        <f>E$7*(F5/SUM(F$5:F$6))</f>
        <v>34923803.578792617</v>
      </c>
      <c r="F5" s="264">
        <f>F$7*(G5/SUM(G$5:G$6))</f>
        <v>33280330.469202377</v>
      </c>
      <c r="G5" s="469">
        <v>36292190.127471067</v>
      </c>
      <c r="H5" s="469">
        <v>25227929.809151631</v>
      </c>
      <c r="I5" s="469">
        <v>19886536.798229277</v>
      </c>
      <c r="J5" s="469">
        <v>7006554.255251009</v>
      </c>
      <c r="K5" s="469">
        <v>4115513.4175970838</v>
      </c>
      <c r="L5" s="469">
        <v>4664861.4934864305</v>
      </c>
      <c r="M5" s="469">
        <v>4765256.3441919778</v>
      </c>
    </row>
    <row r="6" spans="1:13" s="17" customFormat="1" ht="15" thickBot="1" x14ac:dyDescent="0.4">
      <c r="B6" s="123" t="s">
        <v>276</v>
      </c>
      <c r="C6" s="123"/>
      <c r="D6" s="123"/>
      <c r="E6" s="264">
        <f>E$7*(F6/SUM(F$5:F$6))</f>
        <v>16076196.421207378</v>
      </c>
      <c r="F6" s="264">
        <f>F$7*(G6/SUM(G$5:G$6))</f>
        <v>15319669.530797619</v>
      </c>
      <c r="G6" s="469">
        <v>16706094.905404879</v>
      </c>
      <c r="H6" s="469">
        <v>14828428.228020644</v>
      </c>
      <c r="I6" s="469">
        <v>11222205.762169903</v>
      </c>
      <c r="J6" s="469">
        <v>5163729.4263683697</v>
      </c>
      <c r="K6" s="469">
        <v>2905263.3857155917</v>
      </c>
      <c r="L6" s="469">
        <v>2970371.0738329636</v>
      </c>
      <c r="M6" s="469">
        <v>2789720.3055558847</v>
      </c>
    </row>
    <row r="7" spans="1:13" ht="11.65" customHeight="1" thickBot="1" x14ac:dyDescent="0.4">
      <c r="B7" s="360" t="s">
        <v>1</v>
      </c>
      <c r="E7" s="457">
        <v>51000000</v>
      </c>
      <c r="F7" s="457">
        <v>48600000</v>
      </c>
      <c r="G7" s="460">
        <f>SUM(G5:G6)</f>
        <v>52998285.032875948</v>
      </c>
      <c r="H7" s="460">
        <f t="shared" ref="H7:M7" si="0">SUM(H5:H6)</f>
        <v>40056358.037172273</v>
      </c>
      <c r="I7" s="460">
        <f t="shared" si="0"/>
        <v>31108742.560399182</v>
      </c>
      <c r="J7" s="460">
        <f t="shared" si="0"/>
        <v>12170283.68161938</v>
      </c>
      <c r="K7" s="460">
        <f t="shared" si="0"/>
        <v>7020776.803312676</v>
      </c>
      <c r="L7" s="460">
        <f t="shared" si="0"/>
        <v>7635232.5673193941</v>
      </c>
      <c r="M7" s="460">
        <f t="shared" si="0"/>
        <v>7554976.6497478625</v>
      </c>
    </row>
    <row r="8" spans="1:13" ht="11.65" customHeight="1" x14ac:dyDescent="0.35">
      <c r="E8" s="472" t="s">
        <v>282</v>
      </c>
      <c r="F8" s="472"/>
      <c r="G8" s="472" t="s">
        <v>281</v>
      </c>
      <c r="H8" s="472"/>
      <c r="I8" s="472"/>
      <c r="J8" s="472"/>
      <c r="K8" s="472"/>
      <c r="L8" s="472"/>
      <c r="M8" s="472"/>
    </row>
    <row r="9" spans="1:13" ht="11.65" customHeight="1" x14ac:dyDescent="0.35"/>
    <row r="10" spans="1:13" ht="11.25" customHeight="1" x14ac:dyDescent="0.35"/>
    <row r="11" spans="1:13" ht="11.65" customHeight="1" x14ac:dyDescent="0.35"/>
    <row r="12" spans="1:13" ht="11.65" customHeight="1" x14ac:dyDescent="0.35"/>
    <row r="13" spans="1:13" ht="11.65" customHeight="1" x14ac:dyDescent="0.35"/>
  </sheetData>
  <mergeCells count="2">
    <mergeCell ref="E8:F8"/>
    <mergeCell ref="G8:M8"/>
  </mergeCells>
  <printOptions horizontalCentered="1" verticalCentered="1"/>
  <pageMargins left="0.19685039370078741" right="0.19685039370078741" top="0.39370078740157483" bottom="0.39370078740157483" header="0.19685039370078741" footer="0.19685039370078741"/>
  <pageSetup paperSize="8" orientation="landscape" horizontalDpi="2400" verticalDpi="2400" r:id="rId1"/>
  <headerFooter alignWithMargins="0">
    <oddHeader>&amp;L&amp;"Calibri"&amp;11&amp;K000000&amp;"Calibri,Regular"&amp;10Sheet: &amp;A</oddHeader>
    <oddFooter>&amp;L&amp;A :page&amp;P&amp;COfcom Confidential&amp;R&amp;D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83FF-6B43-48B8-A62A-558337F0D81B}">
  <sheetPr codeName="Sheet9">
    <tabColor rgb="FF92D050"/>
  </sheetPr>
  <dimension ref="A1"/>
  <sheetViews>
    <sheetView topLeftCell="B1" workbookViewId="0">
      <selection activeCell="K30" sqref="K30"/>
    </sheetView>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9B66-A783-4305-9FD4-0FD0F9D7D8F5}">
  <sheetPr codeName="Sheet10">
    <pageSetUpPr fitToPage="1"/>
  </sheetPr>
  <dimension ref="A1:N59"/>
  <sheetViews>
    <sheetView zoomScale="89" zoomScaleNormal="89" workbookViewId="0">
      <selection activeCell="D36" sqref="D36"/>
    </sheetView>
  </sheetViews>
  <sheetFormatPr defaultColWidth="8.81640625" defaultRowHeight="14.5" x14ac:dyDescent="0.35"/>
  <cols>
    <col min="1" max="1" width="17.81640625" style="1" customWidth="1"/>
    <col min="2" max="2" width="8.81640625" style="1"/>
    <col min="3" max="3" width="10.54296875" style="1" customWidth="1"/>
    <col min="4" max="12" width="12.453125" style="1" customWidth="1"/>
    <col min="13" max="14" width="8.81640625" style="1"/>
    <col min="15" max="15" width="9.453125" style="1" customWidth="1"/>
    <col min="16" max="23" width="9.54296875" style="1" customWidth="1"/>
    <col min="24" max="16384" width="8.81640625" style="1"/>
  </cols>
  <sheetData>
    <row r="1" spans="1:14" ht="21" x14ac:dyDescent="0.5">
      <c r="A1" s="100" t="s">
        <v>122</v>
      </c>
      <c r="N1" s="1" t="s">
        <v>41</v>
      </c>
    </row>
    <row r="3" spans="1:14" ht="18.5" x14ac:dyDescent="0.45">
      <c r="A3" s="9" t="s">
        <v>273</v>
      </c>
    </row>
    <row r="5" spans="1:14" x14ac:dyDescent="0.35">
      <c r="A5" s="96" t="s">
        <v>116</v>
      </c>
      <c r="B5" s="96" t="str">
        <f>'Input data'!C30</f>
        <v>Units</v>
      </c>
      <c r="D5" s="215" t="s">
        <v>36</v>
      </c>
      <c r="H5" s="196"/>
      <c r="I5" s="196"/>
    </row>
    <row r="6" spans="1:14" x14ac:dyDescent="0.35">
      <c r="A6" s="196" t="str">
        <f>'Input data'!A32</f>
        <v>Lead-ins</v>
      </c>
      <c r="B6" s="196" t="str">
        <f>'Input data'!C32</f>
        <v>kms</v>
      </c>
      <c r="D6" s="103">
        <f>'Input data'!E32</f>
        <v>95485</v>
      </c>
      <c r="G6" s="196"/>
      <c r="H6" s="196"/>
      <c r="I6" s="196"/>
    </row>
    <row r="7" spans="1:14" x14ac:dyDescent="0.35">
      <c r="A7" s="33" t="str">
        <f>'Input data'!A33</f>
        <v>Spine duct – single bore</v>
      </c>
      <c r="B7" s="33" t="str">
        <f>'Input data'!C33</f>
        <v>kms</v>
      </c>
      <c r="D7" s="103">
        <f>'Input data'!E33</f>
        <v>313765.95722560002</v>
      </c>
      <c r="E7" s="118"/>
      <c r="F7" s="118"/>
      <c r="H7" s="196"/>
      <c r="I7" s="196"/>
    </row>
    <row r="8" spans="1:14" x14ac:dyDescent="0.35">
      <c r="A8" s="33" t="str">
        <f>'Input data'!A34</f>
        <v>Spine duct – 2 bores</v>
      </c>
      <c r="B8" s="196" t="str">
        <f>'Input data'!C34</f>
        <v>kms</v>
      </c>
      <c r="D8" s="103">
        <f>'Input data'!E34</f>
        <v>57186.921792000001</v>
      </c>
      <c r="E8" s="118"/>
      <c r="F8" s="118"/>
      <c r="H8" s="196"/>
      <c r="I8" s="196"/>
    </row>
    <row r="9" spans="1:14" x14ac:dyDescent="0.35">
      <c r="A9" s="33" t="str">
        <f>'Input data'!A35</f>
        <v>Spine duct – 3+ bores</v>
      </c>
      <c r="B9" s="196" t="str">
        <f>'Input data'!C35</f>
        <v>kms</v>
      </c>
      <c r="D9" s="103">
        <f>'Input data'!E35</f>
        <v>53503.463460999999</v>
      </c>
      <c r="E9" s="118"/>
      <c r="F9" s="118"/>
      <c r="H9" s="196"/>
      <c r="I9" s="196"/>
    </row>
    <row r="10" spans="1:14" x14ac:dyDescent="0.35">
      <c r="A10" s="33" t="str">
        <f>'Input data'!A36</f>
        <v>Joint boxes</v>
      </c>
      <c r="B10" s="196" t="str">
        <f>'Input data'!C36</f>
        <v>units</v>
      </c>
      <c r="D10" s="103">
        <f>'Input data'!E36</f>
        <v>6492622.5</v>
      </c>
      <c r="E10" s="118"/>
      <c r="F10" s="118"/>
      <c r="H10" s="196"/>
      <c r="I10" s="196"/>
    </row>
    <row r="11" spans="1:14" x14ac:dyDescent="0.35">
      <c r="A11" s="33" t="str">
        <f>'Input data'!A37</f>
        <v>Manholes</v>
      </c>
      <c r="B11" s="196" t="str">
        <f>'Input data'!C37</f>
        <v>units</v>
      </c>
      <c r="D11" s="103">
        <f>'Input data'!E37</f>
        <v>239009.86000000002</v>
      </c>
      <c r="E11" s="118"/>
      <c r="F11" s="118"/>
      <c r="H11" s="196"/>
      <c r="I11" s="196"/>
    </row>
    <row r="13" spans="1:14" x14ac:dyDescent="0.35">
      <c r="A13" s="205" t="s">
        <v>198</v>
      </c>
      <c r="C13" s="196"/>
      <c r="D13" s="215" t="str">
        <f>'Parameters and Assumptions'!D59</f>
        <v>2022/23</v>
      </c>
      <c r="E13" s="215" t="str">
        <f>'Parameters and Assumptions'!E59</f>
        <v>2023/24</v>
      </c>
      <c r="F13" s="215" t="str">
        <f>'Parameters and Assumptions'!F59</f>
        <v>2024/25</v>
      </c>
      <c r="G13" s="215" t="str">
        <f>'Parameters and Assumptions'!G59</f>
        <v>2025/26</v>
      </c>
      <c r="H13" s="215" t="str">
        <f>'Parameters and Assumptions'!H59</f>
        <v>2026/27</v>
      </c>
      <c r="I13" s="215" t="str">
        <f>'Parameters and Assumptions'!I59</f>
        <v>2027/28</v>
      </c>
      <c r="J13" s="215" t="str">
        <f>'Parameters and Assumptions'!J59</f>
        <v>2028/29</v>
      </c>
      <c r="K13" s="215" t="str">
        <f>'Parameters and Assumptions'!K59</f>
        <v>2029/30</v>
      </c>
      <c r="L13" s="215" t="str">
        <f>'Parameters and Assumptions'!L59</f>
        <v>2030/31</v>
      </c>
    </row>
    <row r="14" spans="1:14" x14ac:dyDescent="0.35">
      <c r="A14" s="196" t="str">
        <f t="shared" ref="A14:A19" si="0">A6</f>
        <v>Lead-ins</v>
      </c>
      <c r="B14" s="196"/>
      <c r="C14" s="196"/>
      <c r="D14" s="208">
        <f>D15</f>
        <v>1.1343929101693906E-2</v>
      </c>
      <c r="E14" s="208">
        <f t="shared" ref="E14:L14" si="1">E15</f>
        <v>1.258930038890882E-2</v>
      </c>
      <c r="F14" s="208">
        <f t="shared" si="1"/>
        <v>1.3258191932130403E-2</v>
      </c>
      <c r="G14" s="208">
        <f t="shared" si="1"/>
        <v>1.1410458220303399E-2</v>
      </c>
      <c r="H14" s="208">
        <f t="shared" si="1"/>
        <v>8.62472597445052E-3</v>
      </c>
      <c r="I14" s="208">
        <f t="shared" si="1"/>
        <v>5.906181420883172E-3</v>
      </c>
      <c r="J14" s="208">
        <f t="shared" si="1"/>
        <v>4.0938624283102243E-3</v>
      </c>
      <c r="K14" s="208">
        <f t="shared" si="1"/>
        <v>4.0981873965542093E-3</v>
      </c>
      <c r="L14" s="208">
        <f t="shared" si="1"/>
        <v>0</v>
      </c>
      <c r="N14" s="1" t="s">
        <v>209</v>
      </c>
    </row>
    <row r="15" spans="1:14" x14ac:dyDescent="0.35">
      <c r="A15" s="196" t="str">
        <f t="shared" si="0"/>
        <v>Spine duct – single bore</v>
      </c>
      <c r="B15" s="196"/>
      <c r="C15" s="196"/>
      <c r="D15" s="52">
        <f>INDEX('Parameters and Assumptions'!$D$60:$L$64,MATCH($A15,'Parameters and Assumptions'!$B$60:$B$64,0),MATCH(D$13,'Parameters and Assumptions'!$D$59:$L$59,0))</f>
        <v>1.1343929101693906E-2</v>
      </c>
      <c r="E15" s="52">
        <f>INDEX('Parameters and Assumptions'!$D$60:$L$64,MATCH($A15,'Parameters and Assumptions'!$B$60:$B$64,0),MATCH(E$13,'Parameters and Assumptions'!$D$59:$L$59,0))</f>
        <v>1.258930038890882E-2</v>
      </c>
      <c r="F15" s="52">
        <f>INDEX('Parameters and Assumptions'!$D$60:$L$64,MATCH($A15,'Parameters and Assumptions'!$B$60:$B$64,0),MATCH(F$13,'Parameters and Assumptions'!$D$59:$L$59,0))</f>
        <v>1.3258191932130403E-2</v>
      </c>
      <c r="G15" s="52">
        <f>INDEX('Parameters and Assumptions'!$D$60:$L$64,MATCH($A15,'Parameters and Assumptions'!$B$60:$B$64,0),MATCH(G$13,'Parameters and Assumptions'!$D$59:$L$59,0))</f>
        <v>1.1410458220303399E-2</v>
      </c>
      <c r="H15" s="52">
        <f>INDEX('Parameters and Assumptions'!$D$60:$L$64,MATCH($A15,'Parameters and Assumptions'!$B$60:$B$64,0),MATCH(H$13,'Parameters and Assumptions'!$D$59:$L$59,0))</f>
        <v>8.62472597445052E-3</v>
      </c>
      <c r="I15" s="52">
        <f>INDEX('Parameters and Assumptions'!$D$60:$L$64,MATCH($A15,'Parameters and Assumptions'!$B$60:$B$64,0),MATCH(I$13,'Parameters and Assumptions'!$D$59:$L$59,0))</f>
        <v>5.906181420883172E-3</v>
      </c>
      <c r="J15" s="52">
        <f>INDEX('Parameters and Assumptions'!$D$60:$L$64,MATCH($A15,'Parameters and Assumptions'!$B$60:$B$64,0),MATCH(J$13,'Parameters and Assumptions'!$D$59:$L$59,0))</f>
        <v>4.0938624283102243E-3</v>
      </c>
      <c r="K15" s="52">
        <f>INDEX('Parameters and Assumptions'!$D$60:$L$64,MATCH($A15,'Parameters and Assumptions'!$B$60:$B$64,0),MATCH(K$13,'Parameters and Assumptions'!$D$59:$L$59,0))</f>
        <v>4.0981873965542093E-3</v>
      </c>
      <c r="L15" s="52">
        <f>INDEX('Parameters and Assumptions'!$D$60:$L$64,MATCH($A15,'Parameters and Assumptions'!$B$60:$B$64,0),MATCH(L$13,'Parameters and Assumptions'!$D$59:$L$59,0))</f>
        <v>0</v>
      </c>
    </row>
    <row r="16" spans="1:14" x14ac:dyDescent="0.35">
      <c r="A16" s="196" t="str">
        <f t="shared" si="0"/>
        <v>Spine duct – 2 bores</v>
      </c>
      <c r="B16" s="196"/>
      <c r="C16" s="196"/>
      <c r="D16" s="52">
        <f>INDEX('Parameters and Assumptions'!$D$60:$L$64,MATCH($A16,'Parameters and Assumptions'!$B$60:$B$64,0),MATCH(D$13,'Parameters and Assumptions'!$D$59:$L$59,0))</f>
        <v>2.1660222597263967E-4</v>
      </c>
      <c r="E16" s="52">
        <f>INDEX('Parameters and Assumptions'!$D$60:$L$64,MATCH($A16,'Parameters and Assumptions'!$B$60:$B$64,0),MATCH(E$13,'Parameters and Assumptions'!$D$59:$L$59,0))</f>
        <v>1.5588253911658079E-4</v>
      </c>
      <c r="F16" s="52">
        <f>INDEX('Parameters and Assumptions'!$D$60:$L$64,MATCH($A16,'Parameters and Assumptions'!$B$60:$B$64,0),MATCH(F$13,'Parameters and Assumptions'!$D$59:$L$59,0))</f>
        <v>1.6236243704947917E-4</v>
      </c>
      <c r="G16" s="52">
        <f>INDEX('Parameters and Assumptions'!$D$60:$L$64,MATCH($A16,'Parameters and Assumptions'!$B$60:$B$64,0),MATCH(G$13,'Parameters and Assumptions'!$D$59:$L$59,0))</f>
        <v>1.5817686466923497E-4</v>
      </c>
      <c r="H16" s="52">
        <f>INDEX('Parameters and Assumptions'!$D$60:$L$64,MATCH($A16,'Parameters and Assumptions'!$B$60:$B$64,0),MATCH(H$13,'Parameters and Assumptions'!$D$59:$L$59,0))</f>
        <v>1.5213871017438763E-4</v>
      </c>
      <c r="I16" s="52">
        <f>INDEX('Parameters and Assumptions'!$D$60:$L$64,MATCH($A16,'Parameters and Assumptions'!$B$60:$B$64,0),MATCH(I$13,'Parameters and Assumptions'!$D$59:$L$59,0))</f>
        <v>1.272645696228647E-4</v>
      </c>
      <c r="J16" s="52">
        <f>INDEX('Parameters and Assumptions'!$D$60:$L$64,MATCH($A16,'Parameters and Assumptions'!$B$60:$B$64,0),MATCH(J$13,'Parameters and Assumptions'!$D$59:$L$59,0))</f>
        <v>1.1798860512834963E-4</v>
      </c>
      <c r="K16" s="52">
        <f>INDEX('Parameters and Assumptions'!$D$60:$L$64,MATCH($A16,'Parameters and Assumptions'!$B$60:$B$64,0),MATCH(K$13,'Parameters and Assumptions'!$D$59:$L$59,0))</f>
        <v>1.1457156953342817E-4</v>
      </c>
      <c r="L16" s="52">
        <f>INDEX('Parameters and Assumptions'!$D$60:$L$64,MATCH($A16,'Parameters and Assumptions'!$B$60:$B$64,0),MATCH(L$13,'Parameters and Assumptions'!$D$59:$L$59,0))</f>
        <v>0</v>
      </c>
    </row>
    <row r="17" spans="1:14" x14ac:dyDescent="0.35">
      <c r="A17" s="196" t="str">
        <f t="shared" si="0"/>
        <v>Spine duct – 3+ bores</v>
      </c>
      <c r="B17" s="196"/>
      <c r="C17" s="196"/>
      <c r="D17" s="52">
        <f>INDEX('Parameters and Assumptions'!$D$60:$L$64,MATCH($A17,'Parameters and Assumptions'!$B$60:$B$64,0),MATCH(D$13,'Parameters and Assumptions'!$D$59:$L$59,0))</f>
        <v>1.9475338070451542E-5</v>
      </c>
      <c r="E17" s="52">
        <f>INDEX('Parameters and Assumptions'!$D$60:$L$64,MATCH($A17,'Parameters and Assumptions'!$B$60:$B$64,0),MATCH(E$13,'Parameters and Assumptions'!$D$59:$L$59,0))</f>
        <v>9.8400190053915537E-6</v>
      </c>
      <c r="F17" s="52">
        <f>INDEX('Parameters and Assumptions'!$D$60:$L$64,MATCH($A17,'Parameters and Assumptions'!$B$60:$B$64,0),MATCH(F$13,'Parameters and Assumptions'!$D$59:$L$59,0))</f>
        <v>7.2276449754049565E-6</v>
      </c>
      <c r="G17" s="52">
        <f>INDEX('Parameters and Assumptions'!$D$60:$L$64,MATCH($A17,'Parameters and Assumptions'!$B$60:$B$64,0),MATCH(G$13,'Parameters and Assumptions'!$D$59:$L$59,0))</f>
        <v>8.2246063866087127E-6</v>
      </c>
      <c r="H17" s="52">
        <f>INDEX('Parameters and Assumptions'!$D$60:$L$64,MATCH($A17,'Parameters and Assumptions'!$B$60:$B$64,0),MATCH(H$13,'Parameters and Assumptions'!$D$59:$L$59,0))</f>
        <v>6.6473212663176184E-6</v>
      </c>
      <c r="I17" s="52">
        <f>INDEX('Parameters and Assumptions'!$D$60:$L$64,MATCH($A17,'Parameters and Assumptions'!$B$60:$B$64,0),MATCH(I$13,'Parameters and Assumptions'!$D$59:$L$59,0))</f>
        <v>4.816706728139053E-6</v>
      </c>
      <c r="J17" s="52">
        <f>INDEX('Parameters and Assumptions'!$D$60:$L$64,MATCH($A17,'Parameters and Assumptions'!$B$60:$B$64,0),MATCH(J$13,'Parameters and Assumptions'!$D$59:$L$59,0))</f>
        <v>3.6370321618850454E-6</v>
      </c>
      <c r="K17" s="52">
        <f>INDEX('Parameters and Assumptions'!$D$60:$L$64,MATCH($A17,'Parameters and Assumptions'!$B$60:$B$64,0),MATCH(K$13,'Parameters and Assumptions'!$D$59:$L$59,0))</f>
        <v>3.381444630523589E-6</v>
      </c>
      <c r="L17" s="52">
        <f>INDEX('Parameters and Assumptions'!$D$60:$L$64,MATCH($A17,'Parameters and Assumptions'!$B$60:$B$64,0),MATCH(L$13,'Parameters and Assumptions'!$D$59:$L$59,0))</f>
        <v>0</v>
      </c>
    </row>
    <row r="18" spans="1:14" x14ac:dyDescent="0.35">
      <c r="A18" s="196" t="str">
        <f t="shared" si="0"/>
        <v>Joint boxes</v>
      </c>
      <c r="B18" s="196"/>
      <c r="C18" s="196"/>
      <c r="D18" s="52">
        <f>INDEX('Parameters and Assumptions'!$D$60:$L$64,MATCH($A18,'Parameters and Assumptions'!$B$60:$B$64,0),MATCH(D$13,'Parameters and Assumptions'!$D$59:$L$59,0))</f>
        <v>3.6916909694171274E-3</v>
      </c>
      <c r="E18" s="52">
        <f>INDEX('Parameters and Assumptions'!$D$60:$L$64,MATCH($A18,'Parameters and Assumptions'!$B$60:$B$64,0),MATCH(E$13,'Parameters and Assumptions'!$D$59:$L$59,0))</f>
        <v>3.3074804731805241E-3</v>
      </c>
      <c r="F18" s="52">
        <f>INDEX('Parameters and Assumptions'!$D$60:$L$64,MATCH($A18,'Parameters and Assumptions'!$B$60:$B$64,0),MATCH(F$13,'Parameters and Assumptions'!$D$59:$L$59,0))</f>
        <v>3.5592190054627437E-3</v>
      </c>
      <c r="G18" s="52">
        <f>INDEX('Parameters and Assumptions'!$D$60:$L$64,MATCH($A18,'Parameters and Assumptions'!$B$60:$B$64,0),MATCH(G$13,'Parameters and Assumptions'!$D$59:$L$59,0))</f>
        <v>3.2374163510267007E-3</v>
      </c>
      <c r="H18" s="52">
        <f>INDEX('Parameters and Assumptions'!$D$60:$L$64,MATCH($A18,'Parameters and Assumptions'!$B$60:$B$64,0),MATCH(H$13,'Parameters and Assumptions'!$D$59:$L$59,0))</f>
        <v>2.4962352745461214E-3</v>
      </c>
      <c r="I18" s="52">
        <f>INDEX('Parameters and Assumptions'!$D$60:$L$64,MATCH($A18,'Parameters and Assumptions'!$B$60:$B$64,0),MATCH(I$13,'Parameters and Assumptions'!$D$59:$L$59,0))</f>
        <v>1.8576434463093427E-3</v>
      </c>
      <c r="J18" s="52">
        <f>INDEX('Parameters and Assumptions'!$D$60:$L$64,MATCH($A18,'Parameters and Assumptions'!$B$60:$B$64,0),MATCH(J$13,'Parameters and Assumptions'!$D$59:$L$59,0))</f>
        <v>1.3680580260542197E-3</v>
      </c>
      <c r="K18" s="52">
        <f>INDEX('Parameters and Assumptions'!$D$60:$L$64,MATCH($A18,'Parameters and Assumptions'!$B$60:$B$64,0),MATCH(K$13,'Parameters and Assumptions'!$D$59:$L$59,0))</f>
        <v>1.2364010452059482E-3</v>
      </c>
      <c r="L18" s="52">
        <f>INDEX('Parameters and Assumptions'!$D$60:$L$64,MATCH($A18,'Parameters and Assumptions'!$B$60:$B$64,0),MATCH(L$13,'Parameters and Assumptions'!$D$59:$L$59,0))</f>
        <v>0</v>
      </c>
    </row>
    <row r="19" spans="1:14" x14ac:dyDescent="0.35">
      <c r="A19" s="196" t="str">
        <f t="shared" si="0"/>
        <v>Manholes</v>
      </c>
      <c r="B19" s="196"/>
      <c r="C19" s="196"/>
      <c r="D19" s="52">
        <f>INDEX('Parameters and Assumptions'!$D$60:$L$64,MATCH($A19,'Parameters and Assumptions'!$B$60:$B$64,0),MATCH(D$13,'Parameters and Assumptions'!$D$59:$L$59,0))</f>
        <v>0</v>
      </c>
      <c r="E19" s="52">
        <f>INDEX('Parameters and Assumptions'!$D$60:$L$64,MATCH($A19,'Parameters and Assumptions'!$B$60:$B$64,0),MATCH(E$13,'Parameters and Assumptions'!$D$59:$L$59,0))</f>
        <v>0</v>
      </c>
      <c r="F19" s="52">
        <f>INDEX('Parameters and Assumptions'!$D$60:$L$64,MATCH($A19,'Parameters and Assumptions'!$B$60:$B$64,0),MATCH(F$13,'Parameters and Assumptions'!$D$59:$L$59,0))</f>
        <v>0</v>
      </c>
      <c r="G19" s="52">
        <f>INDEX('Parameters and Assumptions'!$D$60:$L$64,MATCH($A19,'Parameters and Assumptions'!$B$60:$B$64,0),MATCH(G$13,'Parameters and Assumptions'!$D$59:$L$59,0))</f>
        <v>0</v>
      </c>
      <c r="H19" s="52">
        <f>INDEX('Parameters and Assumptions'!$D$60:$L$64,MATCH($A19,'Parameters and Assumptions'!$B$60:$B$64,0),MATCH(H$13,'Parameters and Assumptions'!$D$59:$L$59,0))</f>
        <v>0</v>
      </c>
      <c r="I19" s="52">
        <f>INDEX('Parameters and Assumptions'!$D$60:$L$64,MATCH($A19,'Parameters and Assumptions'!$B$60:$B$64,0),MATCH(I$13,'Parameters and Assumptions'!$D$59:$L$59,0))</f>
        <v>0</v>
      </c>
      <c r="J19" s="52">
        <f>INDEX('Parameters and Assumptions'!$D$60:$L$64,MATCH($A19,'Parameters and Assumptions'!$B$60:$B$64,0),MATCH(J$13,'Parameters and Assumptions'!$D$59:$L$59,0))</f>
        <v>0</v>
      </c>
      <c r="K19" s="52">
        <f>INDEX('Parameters and Assumptions'!$D$60:$L$64,MATCH($A19,'Parameters and Assumptions'!$B$60:$B$64,0),MATCH(K$13,'Parameters and Assumptions'!$D$59:$L$59,0))</f>
        <v>0</v>
      </c>
      <c r="L19" s="52">
        <f>INDEX('Parameters and Assumptions'!$D$60:$L$64,MATCH($A19,'Parameters and Assumptions'!$B$60:$B$64,0),MATCH(L$13,'Parameters and Assumptions'!$D$59:$L$59,0))</f>
        <v>0</v>
      </c>
    </row>
    <row r="20" spans="1:14" x14ac:dyDescent="0.35">
      <c r="A20" s="196"/>
      <c r="B20" s="196"/>
      <c r="C20" s="196"/>
    </row>
    <row r="21" spans="1:14" ht="18.5" x14ac:dyDescent="0.45">
      <c r="A21" s="9" t="s">
        <v>199</v>
      </c>
    </row>
    <row r="22" spans="1:14" ht="15.5" x14ac:dyDescent="0.35">
      <c r="A22" s="11"/>
      <c r="B22" s="11"/>
      <c r="F22" s="68"/>
    </row>
    <row r="23" spans="1:14" ht="15.5" x14ac:dyDescent="0.35">
      <c r="A23" s="11"/>
      <c r="B23" s="11"/>
      <c r="D23" s="215" t="str">
        <f>D$13</f>
        <v>2022/23</v>
      </c>
      <c r="E23" s="215" t="str">
        <f t="shared" ref="E23:L23" si="2">E$13</f>
        <v>2023/24</v>
      </c>
      <c r="F23" s="215" t="str">
        <f t="shared" si="2"/>
        <v>2024/25</v>
      </c>
      <c r="G23" s="215" t="str">
        <f t="shared" si="2"/>
        <v>2025/26</v>
      </c>
      <c r="H23" s="215" t="str">
        <f t="shared" si="2"/>
        <v>2026/27</v>
      </c>
      <c r="I23" s="215" t="str">
        <f t="shared" si="2"/>
        <v>2027/28</v>
      </c>
      <c r="J23" s="215" t="str">
        <f t="shared" si="2"/>
        <v>2028/29</v>
      </c>
      <c r="K23" s="215" t="str">
        <f t="shared" si="2"/>
        <v>2029/30</v>
      </c>
      <c r="L23" s="215" t="str">
        <f t="shared" si="2"/>
        <v>2030/31</v>
      </c>
    </row>
    <row r="24" spans="1:14" x14ac:dyDescent="0.35">
      <c r="A24" s="121" t="s">
        <v>8</v>
      </c>
      <c r="B24" s="121"/>
      <c r="D24" s="122">
        <f t="shared" ref="D24:D29" si="3">AVERAGE(D6, D6/(1+D14))</f>
        <v>94949.487283155322</v>
      </c>
      <c r="E24" s="340">
        <f t="shared" ref="E24:L29" si="4">D24*(1+E14)</f>
        <v>96144.834900335845</v>
      </c>
      <c r="F24" s="340">
        <f t="shared" si="4"/>
        <v>97419.541574727482</v>
      </c>
      <c r="G24" s="340">
        <f t="shared" si="4"/>
        <v>98531.143183707027</v>
      </c>
      <c r="H24" s="340">
        <f t="shared" si="4"/>
        <v>99380.947293615842</v>
      </c>
      <c r="I24" s="340">
        <f t="shared" si="4"/>
        <v>99967.909198111171</v>
      </c>
      <c r="J24" s="340">
        <f t="shared" si="4"/>
        <v>100377.16406561405</v>
      </c>
      <c r="K24" s="340">
        <f t="shared" si="4"/>
        <v>100788.52849428961</v>
      </c>
      <c r="L24" s="340">
        <f t="shared" si="4"/>
        <v>100788.52849428961</v>
      </c>
      <c r="N24" s="200"/>
    </row>
    <row r="25" spans="1:14" x14ac:dyDescent="0.35">
      <c r="A25" s="121" t="str">
        <f>A7</f>
        <v>Spine duct – single bore</v>
      </c>
      <c r="B25" s="121"/>
      <c r="D25" s="122">
        <f t="shared" si="3"/>
        <v>312006.24983483442</v>
      </c>
      <c r="E25" s="340">
        <f t="shared" si="4"/>
        <v>315934.19023722206</v>
      </c>
      <c r="F25" s="340">
        <f t="shared" si="4"/>
        <v>320122.90636930935</v>
      </c>
      <c r="G25" s="340">
        <f t="shared" si="4"/>
        <v>323775.65541779844</v>
      </c>
      <c r="H25" s="340">
        <f t="shared" si="4"/>
        <v>326568.13172297506</v>
      </c>
      <c r="I25" s="340">
        <f t="shared" si="4"/>
        <v>328496.90235520981</v>
      </c>
      <c r="J25" s="340">
        <f t="shared" si="4"/>
        <v>329841.72348157811</v>
      </c>
      <c r="K25" s="340">
        <f t="shared" si="4"/>
        <v>331193.47667560802</v>
      </c>
      <c r="L25" s="340">
        <f t="shared" si="4"/>
        <v>331193.47667560802</v>
      </c>
    </row>
    <row r="26" spans="1:14" x14ac:dyDescent="0.35">
      <c r="A26" s="121" t="str">
        <f>A8</f>
        <v>Spine duct – 2 bores</v>
      </c>
      <c r="B26" s="121"/>
      <c r="D26" s="122">
        <f t="shared" si="3"/>
        <v>57180.729725936959</v>
      </c>
      <c r="E26" s="340">
        <f t="shared" si="4"/>
        <v>57189.643203275176</v>
      </c>
      <c r="F26" s="340">
        <f t="shared" si="4"/>
        <v>57198.928653119649</v>
      </c>
      <c r="G26" s="340">
        <f t="shared" si="4"/>
        <v>57207.976200316436</v>
      </c>
      <c r="H26" s="340">
        <f t="shared" si="4"/>
        <v>57216.679748027236</v>
      </c>
      <c r="I26" s="340">
        <f t="shared" si="4"/>
        <v>57223.961404150621</v>
      </c>
      <c r="J26" s="340">
        <f t="shared" si="4"/>
        <v>57230.713179536615</v>
      </c>
      <c r="K26" s="340">
        <f t="shared" si="4"/>
        <v>57237.270192171112</v>
      </c>
      <c r="L26" s="340">
        <f t="shared" si="4"/>
        <v>57237.270192171112</v>
      </c>
    </row>
    <row r="27" spans="1:14" x14ac:dyDescent="0.35">
      <c r="A27" s="121" t="str">
        <f>A9</f>
        <v>Spine duct – 3+ bores</v>
      </c>
      <c r="B27" s="121"/>
      <c r="D27" s="122">
        <f t="shared" si="3"/>
        <v>53502.942472127012</v>
      </c>
      <c r="E27" s="340">
        <f t="shared" si="4"/>
        <v>53503.468942097781</v>
      </c>
      <c r="F27" s="340">
        <f t="shared" si="4"/>
        <v>53503.855646176249</v>
      </c>
      <c r="G27" s="340">
        <f t="shared" si="4"/>
        <v>53504.295694329106</v>
      </c>
      <c r="H27" s="340">
        <f t="shared" si="4"/>
        <v>53504.651354571717</v>
      </c>
      <c r="I27" s="340">
        <f t="shared" si="4"/>
        <v>53504.909070785885</v>
      </c>
      <c r="J27" s="340">
        <f t="shared" si="4"/>
        <v>53505.103669860997</v>
      </c>
      <c r="K27" s="340">
        <f t="shared" si="4"/>
        <v>53505.284594406505</v>
      </c>
      <c r="L27" s="340">
        <f t="shared" si="4"/>
        <v>53505.284594406505</v>
      </c>
    </row>
    <row r="28" spans="1:14" x14ac:dyDescent="0.35">
      <c r="A28" s="121" t="str">
        <f>A10</f>
        <v>Joint boxes</v>
      </c>
      <c r="B28" s="121"/>
      <c r="D28" s="122">
        <f t="shared" si="3"/>
        <v>6480682.2019648859</v>
      </c>
      <c r="E28" s="340">
        <f t="shared" si="4"/>
        <v>6502116.9318007734</v>
      </c>
      <c r="F28" s="340">
        <f t="shared" si="4"/>
        <v>6525259.38996018</v>
      </c>
      <c r="G28" s="340">
        <f t="shared" si="4"/>
        <v>6546384.3714039279</v>
      </c>
      <c r="H28" s="340">
        <f t="shared" si="4"/>
        <v>6562725.6869925642</v>
      </c>
      <c r="I28" s="340">
        <f t="shared" si="4"/>
        <v>6574916.8913549315</v>
      </c>
      <c r="J28" s="340">
        <f t="shared" si="4"/>
        <v>6583911.7591787893</v>
      </c>
      <c r="K28" s="340">
        <f t="shared" si="4"/>
        <v>6592052.1145593813</v>
      </c>
      <c r="L28" s="340">
        <f t="shared" si="4"/>
        <v>6592052.1145593813</v>
      </c>
    </row>
    <row r="29" spans="1:14" x14ac:dyDescent="0.35">
      <c r="A29" s="121" t="str">
        <f>A11</f>
        <v>Manholes</v>
      </c>
      <c r="B29" s="121"/>
      <c r="D29" s="122">
        <f t="shared" si="3"/>
        <v>239009.86000000002</v>
      </c>
      <c r="E29" s="340">
        <f t="shared" si="4"/>
        <v>239009.86000000002</v>
      </c>
      <c r="F29" s="340">
        <f t="shared" si="4"/>
        <v>239009.86000000002</v>
      </c>
      <c r="G29" s="340">
        <f t="shared" si="4"/>
        <v>239009.86000000002</v>
      </c>
      <c r="H29" s="340">
        <f t="shared" si="4"/>
        <v>239009.86000000002</v>
      </c>
      <c r="I29" s="340">
        <f t="shared" si="4"/>
        <v>239009.86000000002</v>
      </c>
      <c r="J29" s="340">
        <f t="shared" si="4"/>
        <v>239009.86000000002</v>
      </c>
      <c r="K29" s="340">
        <f t="shared" si="4"/>
        <v>239009.86000000002</v>
      </c>
      <c r="L29" s="340">
        <f t="shared" si="4"/>
        <v>239009.86000000002</v>
      </c>
    </row>
    <row r="31" spans="1:14" x14ac:dyDescent="0.35">
      <c r="A31" s="199" t="s">
        <v>202</v>
      </c>
    </row>
    <row r="33" spans="1:12" x14ac:dyDescent="0.35">
      <c r="A33" s="199" t="s">
        <v>203</v>
      </c>
      <c r="D33" s="215" t="str">
        <f>D$13</f>
        <v>2022/23</v>
      </c>
      <c r="E33" s="215" t="str">
        <f t="shared" ref="E33:L33" si="5">E$13</f>
        <v>2023/24</v>
      </c>
      <c r="F33" s="215" t="str">
        <f t="shared" si="5"/>
        <v>2024/25</v>
      </c>
      <c r="G33" s="215" t="str">
        <f t="shared" si="5"/>
        <v>2025/26</v>
      </c>
      <c r="H33" s="215" t="str">
        <f t="shared" si="5"/>
        <v>2026/27</v>
      </c>
      <c r="I33" s="215" t="str">
        <f t="shared" si="5"/>
        <v>2027/28</v>
      </c>
      <c r="J33" s="215" t="str">
        <f t="shared" si="5"/>
        <v>2028/29</v>
      </c>
      <c r="K33" s="215" t="str">
        <f t="shared" si="5"/>
        <v>2029/30</v>
      </c>
      <c r="L33" s="215" t="str">
        <f t="shared" si="5"/>
        <v>2030/31</v>
      </c>
    </row>
    <row r="34" spans="1:12" x14ac:dyDescent="0.35">
      <c r="A34" s="1" t="s">
        <v>204</v>
      </c>
      <c r="D34" s="342" cm="1">
        <f t="array" ref="D34:L34">asset_inflation</f>
        <v>0.12873938663127604</v>
      </c>
      <c r="E34" s="342">
        <v>7.4787643228200862E-2</v>
      </c>
      <c r="F34" s="342">
        <v>3.3557004069397545E-2</v>
      </c>
      <c r="G34" s="342">
        <v>3.4814649098156014E-2</v>
      </c>
      <c r="H34" s="342">
        <v>0.02</v>
      </c>
      <c r="I34" s="342">
        <v>0.02</v>
      </c>
      <c r="J34" s="342">
        <v>0.02</v>
      </c>
      <c r="K34" s="342">
        <v>0.02</v>
      </c>
      <c r="L34" s="342">
        <v>0.02</v>
      </c>
    </row>
    <row r="36" spans="1:12" x14ac:dyDescent="0.35">
      <c r="A36" s="1" t="str">
        <f t="shared" ref="A36:A41" si="6">A24</f>
        <v>Lead-in duct</v>
      </c>
      <c r="D36" s="339">
        <f>'Input data'!E114</f>
        <v>50000</v>
      </c>
      <c r="E36" s="280">
        <f>D36*(1+E$34)</f>
        <v>53739.382161410045</v>
      </c>
      <c r="F36" s="280">
        <f t="shared" ref="E36:L41" si="7">E36*(1+F$34)</f>
        <v>55542.714827287389</v>
      </c>
      <c r="G36" s="280">
        <f t="shared" si="7"/>
        <v>57476.414953958345</v>
      </c>
      <c r="H36" s="280">
        <f t="shared" si="7"/>
        <v>58625.943253037512</v>
      </c>
      <c r="I36" s="280">
        <f t="shared" si="7"/>
        <v>59798.462118098265</v>
      </c>
      <c r="J36" s="280">
        <f t="shared" si="7"/>
        <v>60994.431360460228</v>
      </c>
      <c r="K36" s="280">
        <f t="shared" si="7"/>
        <v>62214.319987669434</v>
      </c>
      <c r="L36" s="280">
        <f t="shared" si="7"/>
        <v>63458.606387422828</v>
      </c>
    </row>
    <row r="37" spans="1:12" x14ac:dyDescent="0.35">
      <c r="A37" s="1" t="str">
        <f t="shared" si="6"/>
        <v>Spine duct – single bore</v>
      </c>
      <c r="D37" s="339">
        <f>'Input data'!E115</f>
        <v>50000</v>
      </c>
      <c r="E37" s="280">
        <f t="shared" si="7"/>
        <v>53739.382161410045</v>
      </c>
      <c r="F37" s="280">
        <f t="shared" si="7"/>
        <v>55542.714827287389</v>
      </c>
      <c r="G37" s="280">
        <f t="shared" si="7"/>
        <v>57476.414953958345</v>
      </c>
      <c r="H37" s="280">
        <f t="shared" si="7"/>
        <v>58625.943253037512</v>
      </c>
      <c r="I37" s="280">
        <f t="shared" si="7"/>
        <v>59798.462118098265</v>
      </c>
      <c r="J37" s="280">
        <f t="shared" si="7"/>
        <v>60994.431360460228</v>
      </c>
      <c r="K37" s="280">
        <f t="shared" si="7"/>
        <v>62214.319987669434</v>
      </c>
      <c r="L37" s="280">
        <f t="shared" si="7"/>
        <v>63458.606387422828</v>
      </c>
    </row>
    <row r="38" spans="1:12" x14ac:dyDescent="0.35">
      <c r="A38" s="1" t="str">
        <f t="shared" si="6"/>
        <v>Spine duct – 2 bores</v>
      </c>
      <c r="D38" s="339">
        <f>'Input data'!E116</f>
        <v>70000</v>
      </c>
      <c r="E38" s="280">
        <f t="shared" si="7"/>
        <v>75235.135025974057</v>
      </c>
      <c r="F38" s="280">
        <f t="shared" si="7"/>
        <v>77759.800758202342</v>
      </c>
      <c r="G38" s="280">
        <f t="shared" si="7"/>
        <v>80466.98093554168</v>
      </c>
      <c r="H38" s="280">
        <f t="shared" si="7"/>
        <v>82076.32055425251</v>
      </c>
      <c r="I38" s="280">
        <f t="shared" si="7"/>
        <v>83717.846965337565</v>
      </c>
      <c r="J38" s="280">
        <f t="shared" si="7"/>
        <v>85392.203904644324</v>
      </c>
      <c r="K38" s="280">
        <f t="shared" si="7"/>
        <v>87100.047982737218</v>
      </c>
      <c r="L38" s="280">
        <f t="shared" si="7"/>
        <v>88842.048942391964</v>
      </c>
    </row>
    <row r="39" spans="1:12" x14ac:dyDescent="0.35">
      <c r="A39" s="1" t="str">
        <f t="shared" si="6"/>
        <v>Spine duct – 3+ bores</v>
      </c>
      <c r="D39" s="339">
        <f>'Input data'!E117</f>
        <v>85000</v>
      </c>
      <c r="E39" s="280">
        <f t="shared" si="7"/>
        <v>91356.949674397067</v>
      </c>
      <c r="F39" s="280">
        <f t="shared" si="7"/>
        <v>94422.615206388553</v>
      </c>
      <c r="G39" s="280">
        <f t="shared" si="7"/>
        <v>97709.905421729185</v>
      </c>
      <c r="H39" s="280">
        <f t="shared" si="7"/>
        <v>99664.103530163775</v>
      </c>
      <c r="I39" s="280">
        <f t="shared" si="7"/>
        <v>101657.38560076705</v>
      </c>
      <c r="J39" s="280">
        <f t="shared" si="7"/>
        <v>103690.5333127824</v>
      </c>
      <c r="K39" s="280">
        <f t="shared" si="7"/>
        <v>105764.34397903805</v>
      </c>
      <c r="L39" s="280">
        <f t="shared" si="7"/>
        <v>107879.63085861881</v>
      </c>
    </row>
    <row r="40" spans="1:12" x14ac:dyDescent="0.35">
      <c r="A40" s="1" t="str">
        <f t="shared" si="6"/>
        <v>Joint boxes</v>
      </c>
      <c r="D40" s="339">
        <f>'Input data'!E118</f>
        <v>1000</v>
      </c>
      <c r="E40" s="280">
        <f t="shared" si="7"/>
        <v>1074.7876432282007</v>
      </c>
      <c r="F40" s="280">
        <f t="shared" si="7"/>
        <v>1110.8542965457477</v>
      </c>
      <c r="G40" s="280">
        <f t="shared" si="7"/>
        <v>1149.5282990791668</v>
      </c>
      <c r="H40" s="280">
        <f t="shared" si="7"/>
        <v>1172.5188650607502</v>
      </c>
      <c r="I40" s="280">
        <f t="shared" si="7"/>
        <v>1195.9692423619651</v>
      </c>
      <c r="J40" s="280">
        <f t="shared" si="7"/>
        <v>1219.8886272092045</v>
      </c>
      <c r="K40" s="280">
        <f t="shared" si="7"/>
        <v>1244.2863997533887</v>
      </c>
      <c r="L40" s="280">
        <f t="shared" si="7"/>
        <v>1269.1721277484564</v>
      </c>
    </row>
    <row r="41" spans="1:12" x14ac:dyDescent="0.35">
      <c r="A41" s="1" t="str">
        <f t="shared" si="6"/>
        <v>Manholes</v>
      </c>
      <c r="D41" s="339">
        <f>'Input data'!E119</f>
        <v>25000</v>
      </c>
      <c r="E41" s="280">
        <f t="shared" si="7"/>
        <v>26869.691080705023</v>
      </c>
      <c r="F41" s="280">
        <f t="shared" si="7"/>
        <v>27771.357413643695</v>
      </c>
      <c r="G41" s="280">
        <f t="shared" si="7"/>
        <v>28738.207476979172</v>
      </c>
      <c r="H41" s="280">
        <f t="shared" si="7"/>
        <v>29312.971626518756</v>
      </c>
      <c r="I41" s="280">
        <f t="shared" si="7"/>
        <v>29899.231059049132</v>
      </c>
      <c r="J41" s="280">
        <f t="shared" si="7"/>
        <v>30497.215680230114</v>
      </c>
      <c r="K41" s="280">
        <f t="shared" si="7"/>
        <v>31107.159993834717</v>
      </c>
      <c r="L41" s="280">
        <f t="shared" si="7"/>
        <v>31729.303193711414</v>
      </c>
    </row>
    <row r="42" spans="1:12" x14ac:dyDescent="0.35">
      <c r="D42" s="280"/>
    </row>
    <row r="43" spans="1:12" x14ac:dyDescent="0.35">
      <c r="A43" s="199" t="s">
        <v>205</v>
      </c>
      <c r="D43" s="215" t="str">
        <f>D$13</f>
        <v>2022/23</v>
      </c>
      <c r="E43" s="215" t="str">
        <f t="shared" ref="E43:L43" si="8">E$13</f>
        <v>2023/24</v>
      </c>
      <c r="F43" s="215" t="str">
        <f t="shared" si="8"/>
        <v>2024/25</v>
      </c>
      <c r="G43" s="215" t="str">
        <f t="shared" si="8"/>
        <v>2025/26</v>
      </c>
      <c r="H43" s="215" t="str">
        <f t="shared" si="8"/>
        <v>2026/27</v>
      </c>
      <c r="I43" s="215" t="str">
        <f t="shared" si="8"/>
        <v>2027/28</v>
      </c>
      <c r="J43" s="215" t="str">
        <f t="shared" si="8"/>
        <v>2028/29</v>
      </c>
      <c r="K43" s="215" t="str">
        <f t="shared" si="8"/>
        <v>2029/30</v>
      </c>
      <c r="L43" s="215" t="str">
        <f t="shared" si="8"/>
        <v>2030/31</v>
      </c>
    </row>
    <row r="44" spans="1:12" x14ac:dyDescent="0.35">
      <c r="A44" s="1" t="str">
        <f t="shared" ref="A44:A49" si="9">A36</f>
        <v>Lead-in duct</v>
      </c>
      <c r="D44" s="281">
        <f t="shared" ref="D44:D49" si="10">D36*D24/Million</f>
        <v>4747.4743641577661</v>
      </c>
      <c r="E44" s="281">
        <f t="shared" ref="E44:J49" si="11">E36*E24/Million</f>
        <v>5166.7640255548222</v>
      </c>
      <c r="F44" s="281">
        <f t="shared" si="11"/>
        <v>5410.9458162901565</v>
      </c>
      <c r="G44" s="281">
        <f t="shared" si="11"/>
        <v>5663.216871514629</v>
      </c>
      <c r="H44" s="281">
        <f t="shared" si="11"/>
        <v>5826.3017764686347</v>
      </c>
      <c r="I44" s="281">
        <f t="shared" si="11"/>
        <v>5977.9272312087387</v>
      </c>
      <c r="J44" s="281">
        <f t="shared" si="11"/>
        <v>6122.4480437577513</v>
      </c>
      <c r="K44" s="281">
        <f t="shared" ref="K44:L44" si="12">K36*K24/Million</f>
        <v>6270.4897628300723</v>
      </c>
      <c r="L44" s="281">
        <f t="shared" si="12"/>
        <v>6395.8995580866749</v>
      </c>
    </row>
    <row r="45" spans="1:12" x14ac:dyDescent="0.35">
      <c r="A45" s="1" t="str">
        <f t="shared" si="9"/>
        <v>Spine duct – single bore</v>
      </c>
      <c r="D45" s="281">
        <f t="shared" si="10"/>
        <v>15600.312491741723</v>
      </c>
      <c r="E45" s="281">
        <f t="shared" si="11"/>
        <v>16978.108187013699</v>
      </c>
      <c r="F45" s="281">
        <f t="shared" si="11"/>
        <v>17780.495298152968</v>
      </c>
      <c r="G45" s="281">
        <f t="shared" si="11"/>
        <v>18609.463922783216</v>
      </c>
      <c r="H45" s="281">
        <f t="shared" si="11"/>
        <v>19145.364758641615</v>
      </c>
      <c r="I45" s="281">
        <f t="shared" si="11"/>
        <v>19643.609571400637</v>
      </c>
      <c r="J45" s="281">
        <f t="shared" si="11"/>
        <v>20118.508362713019</v>
      </c>
      <c r="K45" s="281">
        <f t="shared" ref="K45:L45" si="13">K37*K25/Million</f>
        <v>20604.976935725012</v>
      </c>
      <c r="L45" s="281">
        <f t="shared" si="13"/>
        <v>21017.076474439513</v>
      </c>
    </row>
    <row r="46" spans="1:12" x14ac:dyDescent="0.35">
      <c r="A46" s="1" t="str">
        <f t="shared" si="9"/>
        <v>Spine duct – 2 bores</v>
      </c>
      <c r="D46" s="281">
        <f t="shared" si="10"/>
        <v>4002.6510808155872</v>
      </c>
      <c r="E46" s="281">
        <f t="shared" si="11"/>
        <v>4302.6705284856871</v>
      </c>
      <c r="F46" s="281">
        <f t="shared" si="11"/>
        <v>4447.7772956492145</v>
      </c>
      <c r="G46" s="281">
        <f t="shared" si="11"/>
        <v>4603.3531302717847</v>
      </c>
      <c r="H46" s="281">
        <f t="shared" si="11"/>
        <v>4696.1345480490918</v>
      </c>
      <c r="I46" s="281">
        <f t="shared" si="11"/>
        <v>4790.6668435830652</v>
      </c>
      <c r="J46" s="281">
        <f t="shared" si="11"/>
        <v>4887.0567294352059</v>
      </c>
      <c r="K46" s="281">
        <f t="shared" ref="K46:L46" si="14">K38*K26/Million</f>
        <v>4985.3689801389992</v>
      </c>
      <c r="L46" s="281">
        <f t="shared" si="14"/>
        <v>5085.0763597417781</v>
      </c>
    </row>
    <row r="47" spans="1:12" x14ac:dyDescent="0.35">
      <c r="A47" s="1" t="str">
        <f t="shared" si="9"/>
        <v>Spine duct – 3+ bores</v>
      </c>
      <c r="D47" s="281">
        <f t="shared" si="10"/>
        <v>4547.7501101307962</v>
      </c>
      <c r="E47" s="281">
        <f t="shared" si="11"/>
        <v>4887.9137195488938</v>
      </c>
      <c r="F47" s="281">
        <f t="shared" si="11"/>
        <v>5051.9739737370592</v>
      </c>
      <c r="G47" s="281">
        <f t="shared" si="11"/>
        <v>5227.8996719491288</v>
      </c>
      <c r="H47" s="281">
        <f t="shared" si="11"/>
        <v>5332.4931119473531</v>
      </c>
      <c r="I47" s="281">
        <f t="shared" si="11"/>
        <v>5439.1691729428594</v>
      </c>
      <c r="J47" s="281">
        <f t="shared" si="11"/>
        <v>5547.9727344835974</v>
      </c>
      <c r="K47" s="281">
        <f t="shared" ref="K47:L47" si="15">K39*K27/Million</f>
        <v>5658.9513245391354</v>
      </c>
      <c r="L47" s="281">
        <f t="shared" si="15"/>
        <v>5772.1303510299176</v>
      </c>
    </row>
    <row r="48" spans="1:12" x14ac:dyDescent="0.35">
      <c r="A48" s="1" t="str">
        <f t="shared" si="9"/>
        <v>Joint boxes</v>
      </c>
      <c r="D48" s="281">
        <f t="shared" si="10"/>
        <v>6480.6822019648853</v>
      </c>
      <c r="E48" s="281">
        <f t="shared" si="11"/>
        <v>6988.394933124333</v>
      </c>
      <c r="F48" s="281">
        <f t="shared" si="11"/>
        <v>7248.6124294127512</v>
      </c>
      <c r="G48" s="281">
        <f t="shared" si="11"/>
        <v>7525.2540915783975</v>
      </c>
      <c r="H48" s="281">
        <f t="shared" si="11"/>
        <v>7694.9196742175527</v>
      </c>
      <c r="I48" s="281">
        <f t="shared" si="11"/>
        <v>7863.3983731466442</v>
      </c>
      <c r="J48" s="281">
        <f t="shared" si="11"/>
        <v>8031.6390775711516</v>
      </c>
      <c r="K48" s="281">
        <f t="shared" ref="K48:L48" si="16">K40*K28/Million</f>
        <v>8202.4007926118047</v>
      </c>
      <c r="L48" s="281">
        <f t="shared" si="16"/>
        <v>8366.4488084640416</v>
      </c>
    </row>
    <row r="49" spans="1:12" x14ac:dyDescent="0.35">
      <c r="A49" s="282" t="str">
        <f t="shared" si="9"/>
        <v>Manholes</v>
      </c>
      <c r="B49" s="282"/>
      <c r="C49" s="282"/>
      <c r="D49" s="281">
        <f t="shared" si="10"/>
        <v>5975.2465000000002</v>
      </c>
      <c r="E49" s="281">
        <f t="shared" si="11"/>
        <v>6422.121103442556</v>
      </c>
      <c r="F49" s="281">
        <f t="shared" si="11"/>
        <v>6637.6282474449417</v>
      </c>
      <c r="G49" s="281">
        <f t="shared" si="11"/>
        <v>6868.7149457237456</v>
      </c>
      <c r="H49" s="281">
        <f t="shared" si="11"/>
        <v>7006.0892446382204</v>
      </c>
      <c r="I49" s="281">
        <f t="shared" si="11"/>
        <v>7146.2110295309849</v>
      </c>
      <c r="J49" s="281">
        <f t="shared" si="11"/>
        <v>7289.1352501216052</v>
      </c>
      <c r="K49" s="281">
        <f t="shared" ref="K49:L49" si="17">K41*K29/Million</f>
        <v>7434.9179551240368</v>
      </c>
      <c r="L49" s="281">
        <f t="shared" si="17"/>
        <v>7583.6163142265186</v>
      </c>
    </row>
    <row r="50" spans="1:12" x14ac:dyDescent="0.35">
      <c r="A50" s="199" t="s">
        <v>0</v>
      </c>
      <c r="B50" s="199"/>
      <c r="C50" s="199"/>
      <c r="D50" s="343">
        <f>SUM(D44:D49)</f>
        <v>41354.11674881076</v>
      </c>
      <c r="E50" s="343">
        <f t="shared" ref="E50:J50" si="18">SUM(E44:E49)</f>
        <v>44745.972497169991</v>
      </c>
      <c r="F50" s="343">
        <f t="shared" si="18"/>
        <v>46577.433060687094</v>
      </c>
      <c r="G50" s="343">
        <f t="shared" si="18"/>
        <v>48497.902633820901</v>
      </c>
      <c r="H50" s="343">
        <f t="shared" si="18"/>
        <v>49701.303113962473</v>
      </c>
      <c r="I50" s="343">
        <f t="shared" si="18"/>
        <v>50860.982221812927</v>
      </c>
      <c r="J50" s="343">
        <f t="shared" si="18"/>
        <v>51996.760198082324</v>
      </c>
      <c r="K50" s="343">
        <f t="shared" ref="K50:L50" si="19">SUM(K44:K49)</f>
        <v>53157.105750969058</v>
      </c>
      <c r="L50" s="343">
        <f t="shared" si="19"/>
        <v>54220.247865988444</v>
      </c>
    </row>
    <row r="52" spans="1:12" x14ac:dyDescent="0.35">
      <c r="A52" s="199" t="s">
        <v>206</v>
      </c>
      <c r="D52" s="215" t="str">
        <f>D$13</f>
        <v>2022/23</v>
      </c>
      <c r="E52" s="215" t="str">
        <f t="shared" ref="E52:L52" si="20">E$13</f>
        <v>2023/24</v>
      </c>
      <c r="F52" s="215" t="str">
        <f t="shared" si="20"/>
        <v>2024/25</v>
      </c>
      <c r="G52" s="215" t="str">
        <f t="shared" si="20"/>
        <v>2025/26</v>
      </c>
      <c r="H52" s="215" t="str">
        <f t="shared" si="20"/>
        <v>2026/27</v>
      </c>
      <c r="I52" s="215" t="str">
        <f t="shared" si="20"/>
        <v>2027/28</v>
      </c>
      <c r="J52" s="215" t="str">
        <f t="shared" si="20"/>
        <v>2028/29</v>
      </c>
      <c r="K52" s="215" t="str">
        <f t="shared" si="20"/>
        <v>2029/30</v>
      </c>
      <c r="L52" s="215" t="str">
        <f t="shared" si="20"/>
        <v>2030/31</v>
      </c>
    </row>
    <row r="53" spans="1:12" x14ac:dyDescent="0.35">
      <c r="A53" s="1" t="str">
        <f t="shared" ref="A53:A58" si="21">A44</f>
        <v>Lead-in duct</v>
      </c>
      <c r="D53" s="283">
        <f>D44/D$50</f>
        <v>0.11480052622074903</v>
      </c>
      <c r="E53" s="283">
        <f t="shared" ref="D53:J58" si="22">E44/E$50</f>
        <v>0.11546880617873709</v>
      </c>
      <c r="F53" s="283">
        <f t="shared" si="22"/>
        <v>0.11617097509946668</v>
      </c>
      <c r="G53" s="283">
        <f t="shared" si="22"/>
        <v>0.11677240795904607</v>
      </c>
      <c r="H53" s="283">
        <f t="shared" si="22"/>
        <v>0.1172263383740509</v>
      </c>
      <c r="I53" s="283">
        <f t="shared" si="22"/>
        <v>0.11753463991587965</v>
      </c>
      <c r="J53" s="283">
        <f t="shared" si="22"/>
        <v>0.11774672153484576</v>
      </c>
      <c r="K53" s="283">
        <f t="shared" ref="K53:L53" si="23">K44/K$50</f>
        <v>0.11796145923004397</v>
      </c>
      <c r="L53" s="283">
        <f t="shared" si="23"/>
        <v>0.11796145923004397</v>
      </c>
    </row>
    <row r="54" spans="1:12" x14ac:dyDescent="0.35">
      <c r="A54" s="1" t="str">
        <f t="shared" si="21"/>
        <v>Spine duct – single bore</v>
      </c>
      <c r="D54" s="283">
        <f>D45/D$50</f>
        <v>0.37723723097508421</v>
      </c>
      <c r="E54" s="283">
        <f t="shared" si="22"/>
        <v>0.37943321464490459</v>
      </c>
      <c r="F54" s="283">
        <f t="shared" si="22"/>
        <v>0.38174055824386549</v>
      </c>
      <c r="G54" s="283">
        <f t="shared" si="22"/>
        <v>0.38371688077507843</v>
      </c>
      <c r="H54" s="283">
        <f t="shared" si="22"/>
        <v>0.38520850680197061</v>
      </c>
      <c r="I54" s="283">
        <f t="shared" si="22"/>
        <v>0.38622159292425173</v>
      </c>
      <c r="J54" s="283">
        <f t="shared" si="22"/>
        <v>0.38691849811548457</v>
      </c>
      <c r="K54" s="283">
        <f t="shared" ref="K54:L54" si="24">K45/K$50</f>
        <v>0.38762413123572631</v>
      </c>
      <c r="L54" s="283">
        <f t="shared" si="24"/>
        <v>0.38762413123572631</v>
      </c>
    </row>
    <row r="55" spans="1:12" x14ac:dyDescent="0.35">
      <c r="A55" s="1" t="str">
        <f t="shared" si="21"/>
        <v>Spine duct – 2 bores</v>
      </c>
      <c r="D55" s="283">
        <f>D46/D$50</f>
        <v>9.6789664379198559E-2</v>
      </c>
      <c r="E55" s="283">
        <f t="shared" si="22"/>
        <v>9.6157716289612755E-2</v>
      </c>
      <c r="F55" s="283">
        <f t="shared" si="22"/>
        <v>9.5492108589455241E-2</v>
      </c>
      <c r="G55" s="283">
        <f t="shared" si="22"/>
        <v>9.4918602254390111E-2</v>
      </c>
      <c r="H55" s="283">
        <f t="shared" si="22"/>
        <v>9.4487151318368906E-2</v>
      </c>
      <c r="I55" s="283">
        <f t="shared" si="22"/>
        <v>9.419139454857943E-2</v>
      </c>
      <c r="J55" s="283">
        <f t="shared" si="22"/>
        <v>9.3987715981109221E-2</v>
      </c>
      <c r="K55" s="283">
        <f t="shared" ref="K55:L55" si="25">K46/K$50</f>
        <v>9.3785560927536302E-2</v>
      </c>
      <c r="L55" s="283">
        <f t="shared" si="25"/>
        <v>9.3785560927536274E-2</v>
      </c>
    </row>
    <row r="56" spans="1:12" x14ac:dyDescent="0.35">
      <c r="A56" s="1" t="str">
        <f t="shared" si="21"/>
        <v>Spine duct – 3+ bores</v>
      </c>
      <c r="D56" s="283">
        <f t="shared" si="22"/>
        <v>0.10997091626341114</v>
      </c>
      <c r="E56" s="283">
        <f t="shared" si="22"/>
        <v>0.10923695355728463</v>
      </c>
      <c r="F56" s="283">
        <f t="shared" si="22"/>
        <v>0.10846398441826313</v>
      </c>
      <c r="G56" s="283">
        <f t="shared" si="22"/>
        <v>0.1077964074327486</v>
      </c>
      <c r="H56" s="283">
        <f t="shared" si="22"/>
        <v>0.10729081086103974</v>
      </c>
      <c r="I56" s="283">
        <f t="shared" si="22"/>
        <v>0.10694188227080963</v>
      </c>
      <c r="J56" s="283">
        <f t="shared" si="22"/>
        <v>0.10669843108202365</v>
      </c>
      <c r="K56" s="283">
        <f t="shared" ref="K56:L56" si="26">K47/K$50</f>
        <v>0.10645710003569885</v>
      </c>
      <c r="L56" s="283">
        <f t="shared" si="26"/>
        <v>0.10645710003569883</v>
      </c>
    </row>
    <row r="57" spans="1:12" x14ac:dyDescent="0.35">
      <c r="A57" s="1" t="str">
        <f t="shared" si="21"/>
        <v>Joint boxes</v>
      </c>
      <c r="D57" s="283">
        <f t="shared" si="22"/>
        <v>0.1567118998412958</v>
      </c>
      <c r="E57" s="283">
        <f t="shared" si="22"/>
        <v>0.15617930604964106</v>
      </c>
      <c r="F57" s="283">
        <f t="shared" si="22"/>
        <v>0.1556249873188229</v>
      </c>
      <c r="G57" s="283">
        <f t="shared" si="22"/>
        <v>0.15516658830376973</v>
      </c>
      <c r="H57" s="283">
        <f t="shared" si="22"/>
        <v>0.15482329822567242</v>
      </c>
      <c r="I57" s="283">
        <f t="shared" si="22"/>
        <v>0.15460571207321752</v>
      </c>
      <c r="J57" s="283">
        <f t="shared" si="22"/>
        <v>0.15446422136637974</v>
      </c>
      <c r="K57" s="283">
        <f t="shared" ref="K57:L57" si="27">K48/K$50</f>
        <v>0.15430487940856852</v>
      </c>
      <c r="L57" s="283">
        <f t="shared" si="27"/>
        <v>0.15430487940856852</v>
      </c>
    </row>
    <row r="58" spans="1:12" x14ac:dyDescent="0.35">
      <c r="A58" s="282" t="str">
        <f t="shared" si="21"/>
        <v>Manholes</v>
      </c>
      <c r="B58" s="282"/>
      <c r="C58" s="282"/>
      <c r="D58" s="284">
        <f t="shared" si="22"/>
        <v>0.14448976232026123</v>
      </c>
      <c r="E58" s="284">
        <f t="shared" si="22"/>
        <v>0.14352400327981987</v>
      </c>
      <c r="F58" s="284">
        <f t="shared" si="22"/>
        <v>0.1425073863301265</v>
      </c>
      <c r="G58" s="284">
        <f t="shared" si="22"/>
        <v>0.14162911327496711</v>
      </c>
      <c r="H58" s="284">
        <f t="shared" si="22"/>
        <v>0.14096389441889737</v>
      </c>
      <c r="I58" s="284">
        <f t="shared" si="22"/>
        <v>0.1405047782672621</v>
      </c>
      <c r="J58" s="284">
        <f t="shared" si="22"/>
        <v>0.14018441192015715</v>
      </c>
      <c r="K58" s="284">
        <f t="shared" ref="K58:L58" si="28">K49/K$50</f>
        <v>0.13986686916242608</v>
      </c>
      <c r="L58" s="284">
        <f t="shared" si="28"/>
        <v>0.13986686916242611</v>
      </c>
    </row>
    <row r="59" spans="1:12" x14ac:dyDescent="0.35">
      <c r="A59" s="199" t="s">
        <v>0</v>
      </c>
      <c r="B59" s="199"/>
      <c r="C59" s="199"/>
      <c r="D59" s="344">
        <f t="shared" ref="D59:J59" si="29">SUM(D53:D58)</f>
        <v>1</v>
      </c>
      <c r="E59" s="344">
        <f t="shared" si="29"/>
        <v>0.99999999999999989</v>
      </c>
      <c r="F59" s="344">
        <f t="shared" si="29"/>
        <v>0.99999999999999989</v>
      </c>
      <c r="G59" s="344">
        <f t="shared" si="29"/>
        <v>1</v>
      </c>
      <c r="H59" s="344">
        <f t="shared" si="29"/>
        <v>1</v>
      </c>
      <c r="I59" s="344">
        <f t="shared" si="29"/>
        <v>1</v>
      </c>
      <c r="J59" s="344">
        <f t="shared" si="29"/>
        <v>1</v>
      </c>
      <c r="K59" s="344">
        <f t="shared" ref="K59:L59" si="30">SUM(K53:K58)</f>
        <v>1</v>
      </c>
      <c r="L59" s="344">
        <f t="shared" si="30"/>
        <v>1</v>
      </c>
    </row>
  </sheetData>
  <phoneticPr fontId="51" type="noConversion"/>
  <printOptions horizontalCentered="1" verticalCentered="1"/>
  <pageMargins left="0.19685039370078741" right="0.19685039370078741" top="0.39370078740157483" bottom="0.39370078740157483" header="0.19685039370078741" footer="0.19685039370078741"/>
  <pageSetup paperSize="9" scale="62" orientation="landscape" r:id="rId1"/>
  <headerFooter>
    <oddHeader xml:space="preserve">&amp;L&amp;"Calibri"&amp;11&amp;K000000File: &amp;F Sheet: &amp;A 
&amp;Cpage &amp;P of &amp;N&amp;R&amp;"Calibri"&amp;11&amp;K000000File: &amp;F Sheet: &amp;A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7E57-B425-441B-80F5-F1F1C357C462}">
  <sheetPr codeName="Sheet11"/>
  <dimension ref="A1:Q130"/>
  <sheetViews>
    <sheetView zoomScaleNormal="100" workbookViewId="0">
      <selection activeCell="E99" sqref="E99"/>
    </sheetView>
  </sheetViews>
  <sheetFormatPr defaultColWidth="8.81640625" defaultRowHeight="13" x14ac:dyDescent="0.3"/>
  <cols>
    <col min="1" max="1" width="20" style="18" customWidth="1"/>
    <col min="2" max="2" width="20" style="18" bestFit="1" customWidth="1"/>
    <col min="3" max="3" width="2" style="18" customWidth="1"/>
    <col min="4" max="4" width="10.81640625" style="18" customWidth="1"/>
    <col min="5" max="5" width="8.81640625" style="18"/>
    <col min="6" max="12" width="13.453125" style="18" customWidth="1"/>
    <col min="13" max="14" width="13.453125" style="38" customWidth="1"/>
    <col min="15" max="15" width="2" style="18" customWidth="1"/>
    <col min="16" max="16" width="23.1796875" style="18" bestFit="1" customWidth="1"/>
    <col min="17" max="16384" width="8.81640625" style="18"/>
  </cols>
  <sheetData>
    <row r="1" spans="1:16" s="48" customFormat="1" ht="21" x14ac:dyDescent="0.5">
      <c r="A1" s="146" t="s">
        <v>328</v>
      </c>
    </row>
    <row r="2" spans="1:16" ht="6" customHeight="1" x14ac:dyDescent="0.3"/>
    <row r="3" spans="1:16" ht="15.5" x14ac:dyDescent="0.35">
      <c r="A3" s="47" t="s">
        <v>129</v>
      </c>
    </row>
    <row r="4" spans="1:16" ht="7.15" customHeight="1" x14ac:dyDescent="0.3">
      <c r="A4" s="25"/>
      <c r="B4" s="23"/>
      <c r="D4" s="38"/>
      <c r="E4" s="38"/>
      <c r="F4" s="38"/>
    </row>
    <row r="5" spans="1:16" x14ac:dyDescent="0.3">
      <c r="A5" s="104" t="s">
        <v>108</v>
      </c>
      <c r="B5" s="104"/>
      <c r="C5" s="104"/>
      <c r="D5" s="36"/>
      <c r="E5" s="22"/>
      <c r="F5" s="39" t="str">
        <f>'Parameters and Assumptions'!D34</f>
        <v>2022/23</v>
      </c>
      <c r="G5" s="39" t="str">
        <f>'Parameters and Assumptions'!E34</f>
        <v>2023/24</v>
      </c>
      <c r="H5" s="39" t="str">
        <f>'Parameters and Assumptions'!F34</f>
        <v>2024/25</v>
      </c>
      <c r="I5" s="39" t="str">
        <f>'Parameters and Assumptions'!G34</f>
        <v>2025/26</v>
      </c>
      <c r="J5" s="39" t="str">
        <f>'Parameters and Assumptions'!H34</f>
        <v>2026/27</v>
      </c>
      <c r="K5" s="39" t="str">
        <f>'Parameters and Assumptions'!I34</f>
        <v>2027/28</v>
      </c>
      <c r="L5" s="39" t="str">
        <f>'Parameters and Assumptions'!J34</f>
        <v>2028/29</v>
      </c>
      <c r="M5" s="39" t="str">
        <f>'Parameters and Assumptions'!K34</f>
        <v>2029/30</v>
      </c>
      <c r="N5" s="39" t="str">
        <f>'Parameters and Assumptions'!L34</f>
        <v>2030/31</v>
      </c>
      <c r="O5" s="39"/>
    </row>
    <row r="6" spans="1:16" x14ac:dyDescent="0.3">
      <c r="A6" s="25"/>
      <c r="B6" s="23"/>
    </row>
    <row r="7" spans="1:16" x14ac:dyDescent="0.3">
      <c r="A7" s="38" t="str">
        <f>'Parameters and Assumptions'!A36</f>
        <v>PIA Asset Inflation value</v>
      </c>
      <c r="E7" s="247"/>
      <c r="F7" s="256" cm="1">
        <f t="array" ref="F7:N7">asset_inflation</f>
        <v>0.12873938663127604</v>
      </c>
      <c r="G7" s="256">
        <v>7.4787643228200862E-2</v>
      </c>
      <c r="H7" s="256">
        <v>3.3557004069397545E-2</v>
      </c>
      <c r="I7" s="256">
        <v>3.4814649098156014E-2</v>
      </c>
      <c r="J7" s="256">
        <v>0.02</v>
      </c>
      <c r="K7" s="256">
        <v>0.02</v>
      </c>
      <c r="L7" s="256">
        <v>0.02</v>
      </c>
      <c r="M7" s="256">
        <v>0.02</v>
      </c>
      <c r="N7" s="256">
        <v>0.02</v>
      </c>
    </row>
    <row r="8" spans="1:16" s="38" customFormat="1" x14ac:dyDescent="0.3">
      <c r="A8" s="129"/>
      <c r="B8" s="302"/>
      <c r="D8" s="46"/>
      <c r="E8" s="24"/>
      <c r="F8" s="24"/>
      <c r="G8" s="24"/>
      <c r="H8" s="24"/>
      <c r="I8" s="24"/>
      <c r="J8" s="24"/>
      <c r="K8" s="24"/>
      <c r="L8" s="24"/>
      <c r="M8" s="24"/>
      <c r="N8" s="24"/>
    </row>
    <row r="9" spans="1:16" s="38" customFormat="1" x14ac:dyDescent="0.3">
      <c r="B9" s="38" t="s">
        <v>318</v>
      </c>
      <c r="D9" s="46"/>
      <c r="E9" s="24"/>
      <c r="F9" s="24"/>
      <c r="G9" s="59">
        <f>'Parameters and Assumptions'!E67 + 'Network Adjs'!F5/Million</f>
        <v>486.03087445349007</v>
      </c>
      <c r="H9" s="59">
        <f>'Parameters and Assumptions'!F67 + 'Network Adjs'!G5/Million</f>
        <v>499.94821979814554</v>
      </c>
      <c r="I9" s="59">
        <f>'Parameters and Assumptions'!G67 + 'Network Adjs'!H5/Million</f>
        <v>513.10780960651448</v>
      </c>
      <c r="J9" s="59">
        <f>'Parameters and Assumptions'!H67 + 'Network Adjs'!I5/Million</f>
        <v>487.30260036133228</v>
      </c>
      <c r="K9" s="59">
        <f>'Parameters and Assumptions'!I67 + 'Network Adjs'!J5/Million</f>
        <v>312.69883994948373</v>
      </c>
      <c r="L9" s="59">
        <f>'Parameters and Assumptions'!J67 + 'Network Adjs'!K5/Million</f>
        <v>234.52138591382158</v>
      </c>
      <c r="M9" s="59">
        <f>'Parameters and Assumptions'!K67 + 'Network Adjs'!L5/Million</f>
        <v>235.07073398971093</v>
      </c>
      <c r="N9" s="59">
        <f>'Parameters and Assumptions'!L67 + 'Network Adjs'!M5/Million</f>
        <v>235.17112884041649</v>
      </c>
    </row>
    <row r="10" spans="1:16" ht="6" customHeight="1" thickBot="1" x14ac:dyDescent="0.35">
      <c r="A10" s="27"/>
      <c r="B10" s="27"/>
      <c r="C10" s="27"/>
      <c r="D10" s="27"/>
      <c r="E10" s="28"/>
      <c r="F10" s="28"/>
      <c r="G10" s="28"/>
      <c r="H10" s="28"/>
      <c r="I10" s="28"/>
      <c r="J10" s="28"/>
      <c r="K10" s="28"/>
      <c r="L10" s="28"/>
      <c r="M10" s="28"/>
      <c r="N10" s="28"/>
      <c r="O10" s="28"/>
      <c r="P10" s="28"/>
    </row>
    <row r="11" spans="1:16" ht="6" customHeight="1" thickTop="1" x14ac:dyDescent="0.3"/>
    <row r="12" spans="1:16" ht="18.5" x14ac:dyDescent="0.45">
      <c r="A12" s="42" t="s">
        <v>53</v>
      </c>
      <c r="B12" s="43"/>
      <c r="C12" s="43"/>
      <c r="D12" s="46"/>
      <c r="F12" s="43"/>
      <c r="G12" s="43" t="s">
        <v>54</v>
      </c>
      <c r="H12" s="43"/>
      <c r="I12" s="43"/>
      <c r="J12" s="43"/>
      <c r="K12" s="43"/>
      <c r="L12" s="43"/>
      <c r="M12" s="43"/>
      <c r="N12" s="43"/>
    </row>
    <row r="13" spans="1:16" x14ac:dyDescent="0.3">
      <c r="A13" s="43"/>
      <c r="B13" s="43"/>
      <c r="C13" s="43"/>
      <c r="D13" s="250"/>
      <c r="E13" s="250">
        <f>'Parameters and Assumptions'!E30</f>
        <v>0</v>
      </c>
      <c r="F13" s="39" t="s">
        <v>36</v>
      </c>
      <c r="G13" s="39" t="s">
        <v>37</v>
      </c>
      <c r="H13" s="39" t="s">
        <v>40</v>
      </c>
      <c r="I13" s="39" t="s">
        <v>39</v>
      </c>
      <c r="J13" s="39" t="s">
        <v>266</v>
      </c>
      <c r="K13" s="39" t="s">
        <v>267</v>
      </c>
      <c r="L13" s="39" t="s">
        <v>268</v>
      </c>
      <c r="M13" s="39" t="s">
        <v>269</v>
      </c>
      <c r="N13" s="39" t="s">
        <v>270</v>
      </c>
    </row>
    <row r="14" spans="1:16" ht="6" customHeight="1" x14ac:dyDescent="0.3">
      <c r="A14" s="43"/>
      <c r="B14" s="43"/>
      <c r="C14" s="43"/>
      <c r="D14" s="43"/>
      <c r="E14" s="124"/>
      <c r="F14" s="43"/>
      <c r="G14" s="43"/>
      <c r="H14" s="43"/>
      <c r="I14" s="43"/>
      <c r="J14" s="43"/>
      <c r="K14" s="43"/>
      <c r="L14" s="43"/>
      <c r="M14" s="43"/>
      <c r="N14" s="43"/>
    </row>
    <row r="15" spans="1:16" x14ac:dyDescent="0.3">
      <c r="A15" s="44" t="str">
        <f>'Input data'!A71</f>
        <v>Other post 97 Assets</v>
      </c>
      <c r="B15" s="43" t="str">
        <f>'Input data'!B71</f>
        <v>Opening GRC</v>
      </c>
      <c r="C15" s="43"/>
      <c r="E15" s="251"/>
      <c r="F15" s="266">
        <f>'Input data'!E71</f>
        <v>6835.7231284286645</v>
      </c>
      <c r="G15" s="58">
        <f>F19</f>
        <v>7650.0900924673761</v>
      </c>
      <c r="H15" s="58">
        <f t="shared" ref="H15:L15" si="0">G19</f>
        <v>8222.2223009664194</v>
      </c>
      <c r="I15" s="58">
        <f t="shared" si="0"/>
        <v>8498.1354481794406</v>
      </c>
      <c r="J15" s="58">
        <f t="shared" si="0"/>
        <v>8793.995051796408</v>
      </c>
      <c r="K15" s="58">
        <f t="shared" si="0"/>
        <v>8969.8749528323369</v>
      </c>
      <c r="L15" s="58">
        <f t="shared" si="0"/>
        <v>9149.2724518889845</v>
      </c>
      <c r="M15" s="58">
        <f t="shared" ref="M15" si="1">L19</f>
        <v>9332.2579009267647</v>
      </c>
      <c r="N15" s="58">
        <f t="shared" ref="N15" si="2">M19</f>
        <v>9518.9030589452996</v>
      </c>
    </row>
    <row r="16" spans="1:16" x14ac:dyDescent="0.3">
      <c r="A16" s="44" t="str">
        <f>'Input data'!A72</f>
        <v>GRC</v>
      </c>
      <c r="B16" s="43" t="str">
        <f>'Input data'!B72</f>
        <v>Net asset registrations</v>
      </c>
      <c r="C16" s="43"/>
      <c r="E16" s="251"/>
      <c r="F16" s="266">
        <f>'Input data'!E72</f>
        <v>0</v>
      </c>
      <c r="G16" s="345"/>
      <c r="H16" s="345"/>
      <c r="I16" s="345"/>
      <c r="J16" s="345"/>
      <c r="K16" s="345"/>
      <c r="L16" s="345"/>
      <c r="M16" s="345"/>
      <c r="N16" s="345"/>
      <c r="P16" s="20" t="s">
        <v>160</v>
      </c>
    </row>
    <row r="17" spans="1:16" x14ac:dyDescent="0.3">
      <c r="A17" s="43"/>
      <c r="B17" s="43" t="str">
        <f>'Input data'!B73</f>
        <v>Price movement</v>
      </c>
      <c r="C17" s="43"/>
      <c r="E17" s="251"/>
      <c r="F17" s="266">
        <f>'Input data'!E73</f>
        <v>825.52973695894002</v>
      </c>
      <c r="G17" s="58">
        <f>G15*G$7</f>
        <v>572.13220849904428</v>
      </c>
      <c r="H17" s="58">
        <f t="shared" ref="H17:L17" si="3">H15*H$7</f>
        <v>275.91314721302138</v>
      </c>
      <c r="I17" s="58">
        <f t="shared" si="3"/>
        <v>295.859603616968</v>
      </c>
      <c r="J17" s="58">
        <f t="shared" si="3"/>
        <v>175.87990103592816</v>
      </c>
      <c r="K17" s="58">
        <f t="shared" si="3"/>
        <v>179.39749905664675</v>
      </c>
      <c r="L17" s="58">
        <f t="shared" si="3"/>
        <v>182.98544903777969</v>
      </c>
      <c r="M17" s="58">
        <f t="shared" ref="M17:N17" si="4">M15*M$7</f>
        <v>186.64515801853528</v>
      </c>
      <c r="N17" s="58">
        <f t="shared" si="4"/>
        <v>190.37806117890599</v>
      </c>
    </row>
    <row r="18" spans="1:16" x14ac:dyDescent="0.3">
      <c r="A18" s="43"/>
      <c r="B18" s="43" t="str">
        <f>'Input data'!B74</f>
        <v>Write outs and Other adjs</v>
      </c>
      <c r="C18" s="43"/>
      <c r="E18" s="251"/>
      <c r="F18" s="266">
        <f>'Input data'!E74</f>
        <v>-11.162772920228235</v>
      </c>
      <c r="G18" s="345"/>
      <c r="H18" s="345"/>
      <c r="I18" s="345"/>
      <c r="J18" s="345"/>
      <c r="K18" s="345"/>
      <c r="L18" s="345"/>
      <c r="M18" s="345"/>
      <c r="N18" s="345"/>
      <c r="P18" s="20" t="s">
        <v>162</v>
      </c>
    </row>
    <row r="19" spans="1:16" x14ac:dyDescent="0.3">
      <c r="A19" s="43"/>
      <c r="B19" s="43" t="str">
        <f>'Input data'!B75</f>
        <v>Closing GRC</v>
      </c>
      <c r="C19" s="43"/>
      <c r="E19" s="251"/>
      <c r="F19" s="266">
        <f>'Input data'!E75</f>
        <v>7650.0900924673761</v>
      </c>
      <c r="G19" s="58">
        <f>SUM(G15:G18)</f>
        <v>8222.2223009664194</v>
      </c>
      <c r="H19" s="58">
        <f t="shared" ref="H19:L19" si="5">SUM(H15:H18)</f>
        <v>8498.1354481794406</v>
      </c>
      <c r="I19" s="58">
        <f t="shared" si="5"/>
        <v>8793.995051796408</v>
      </c>
      <c r="J19" s="58">
        <f t="shared" si="5"/>
        <v>8969.8749528323369</v>
      </c>
      <c r="K19" s="58">
        <f t="shared" si="5"/>
        <v>9149.2724518889845</v>
      </c>
      <c r="L19" s="58">
        <f t="shared" si="5"/>
        <v>9332.2579009267647</v>
      </c>
      <c r="M19" s="58">
        <f t="shared" ref="M19:N19" si="6">SUM(M15:M18)</f>
        <v>9518.9030589452996</v>
      </c>
      <c r="N19" s="58">
        <f t="shared" si="6"/>
        <v>9709.2811201242057</v>
      </c>
    </row>
    <row r="20" spans="1:16" ht="14.5" x14ac:dyDescent="0.35">
      <c r="A20" s="43"/>
      <c r="B20" s="45" t="s">
        <v>38</v>
      </c>
      <c r="C20" s="43"/>
      <c r="E20" s="251"/>
      <c r="F20" s="347" t="b">
        <f>SUM(F15:F18)=F19</f>
        <v>1</v>
      </c>
      <c r="G20" s="43"/>
      <c r="H20" s="43"/>
      <c r="I20" s="43"/>
      <c r="J20" s="43"/>
      <c r="K20" s="43"/>
      <c r="L20" s="43"/>
      <c r="M20" s="43"/>
      <c r="N20" s="43"/>
    </row>
    <row r="21" spans="1:16" x14ac:dyDescent="0.3">
      <c r="A21" s="43"/>
      <c r="B21" s="43"/>
      <c r="C21" s="43"/>
      <c r="E21" s="251"/>
      <c r="F21" s="127"/>
      <c r="G21" s="43"/>
      <c r="H21" s="43"/>
      <c r="I21" s="43"/>
      <c r="J21" s="43"/>
      <c r="K21" s="43"/>
      <c r="L21" s="43"/>
      <c r="M21" s="43"/>
      <c r="N21" s="43"/>
    </row>
    <row r="22" spans="1:16" x14ac:dyDescent="0.3">
      <c r="A22" s="44" t="str">
        <f>'Input data'!A77</f>
        <v>Other post 97 Assets</v>
      </c>
      <c r="B22" s="43" t="str">
        <f>'Input data'!B77</f>
        <v>Duct Opening NRC</v>
      </c>
      <c r="C22" s="43"/>
      <c r="E22" s="251"/>
      <c r="F22" s="266">
        <f>'Input data'!E77</f>
        <v>3898.447876452884</v>
      </c>
      <c r="G22" s="58">
        <f>F27</f>
        <v>4253.4701010107019</v>
      </c>
      <c r="H22" s="58">
        <f t="shared" ref="H22:L22" si="7">G27</f>
        <v>4387.7219574250685</v>
      </c>
      <c r="I22" s="58">
        <f t="shared" si="7"/>
        <v>4341.2823748904411</v>
      </c>
      <c r="J22" s="58">
        <f t="shared" si="7"/>
        <v>4292.1211458497855</v>
      </c>
      <c r="K22" s="58">
        <f t="shared" si="7"/>
        <v>4172.1977756374636</v>
      </c>
      <c r="L22" s="58">
        <f t="shared" si="7"/>
        <v>4045.7606221583087</v>
      </c>
      <c r="M22" s="58">
        <f t="shared" ref="M22" si="8">L27</f>
        <v>3912.5971034297327</v>
      </c>
      <c r="N22" s="58">
        <f t="shared" ref="N22" si="9">M27</f>
        <v>3772.4887397031507</v>
      </c>
    </row>
    <row r="23" spans="1:16" x14ac:dyDescent="0.3">
      <c r="A23" s="44" t="str">
        <f>'Input data'!A78</f>
        <v>NRC</v>
      </c>
      <c r="B23" s="43" t="str">
        <f>'Input data'!B78</f>
        <v>Net Asset registrations</v>
      </c>
      <c r="C23" s="43"/>
      <c r="E23" s="251"/>
      <c r="F23" s="266">
        <f>'Input data'!E78</f>
        <v>0</v>
      </c>
      <c r="G23" s="345"/>
      <c r="H23" s="345"/>
      <c r="I23" s="345"/>
      <c r="J23" s="345"/>
      <c r="K23" s="345"/>
      <c r="L23" s="345"/>
      <c r="M23" s="345"/>
      <c r="N23" s="345"/>
      <c r="P23" s="20" t="s">
        <v>160</v>
      </c>
    </row>
    <row r="24" spans="1:16" x14ac:dyDescent="0.3">
      <c r="A24" s="43"/>
      <c r="B24" s="43" t="str">
        <f>'Input data'!B79</f>
        <v>OCM depreciation</v>
      </c>
      <c r="C24" s="43"/>
      <c r="E24" s="251"/>
      <c r="F24" s="266">
        <f>'Input data'!E79</f>
        <v>-167.79479053517906</v>
      </c>
      <c r="G24" s="300">
        <f>-MIN(AVERAGE(G15,G19)/$E$30,G25+G22)</f>
        <v>-183.85514798184099</v>
      </c>
      <c r="H24" s="300">
        <f t="shared" ref="H24:N24" si="10">-MIN(AVERAGE(H15,H19)/$E$30,H25+H22)</f>
        <v>-193.67838611532528</v>
      </c>
      <c r="I24" s="300">
        <f t="shared" si="10"/>
        <v>-200.30145155847524</v>
      </c>
      <c r="J24" s="300">
        <f t="shared" si="10"/>
        <v>-205.7657931293177</v>
      </c>
      <c r="K24" s="300">
        <f t="shared" si="10"/>
        <v>-209.88110899190406</v>
      </c>
      <c r="L24" s="300">
        <f t="shared" si="10"/>
        <v>-214.07873117174219</v>
      </c>
      <c r="M24" s="300">
        <f t="shared" si="10"/>
        <v>-218.36030579517703</v>
      </c>
      <c r="N24" s="300">
        <f t="shared" si="10"/>
        <v>-222.72751191108054</v>
      </c>
    </row>
    <row r="25" spans="1:16" x14ac:dyDescent="0.3">
      <c r="A25" s="43"/>
      <c r="B25" s="43" t="str">
        <f>'Input data'!B80</f>
        <v>Price movement</v>
      </c>
      <c r="C25" s="43"/>
      <c r="E25" s="251"/>
      <c r="F25" s="266">
        <f>'Input data'!E80</f>
        <v>533.1895032047139</v>
      </c>
      <c r="G25" s="58">
        <f>G22*G$7</f>
        <v>318.10700439620786</v>
      </c>
      <c r="H25" s="58">
        <f t="shared" ref="H25:L25" si="11">H22*H$7</f>
        <v>147.23880358069798</v>
      </c>
      <c r="I25" s="58">
        <f t="shared" si="11"/>
        <v>151.14022251782009</v>
      </c>
      <c r="J25" s="58">
        <f t="shared" si="11"/>
        <v>85.842422916995716</v>
      </c>
      <c r="K25" s="58">
        <f t="shared" si="11"/>
        <v>83.44395551274927</v>
      </c>
      <c r="L25" s="58">
        <f t="shared" si="11"/>
        <v>80.915212443166169</v>
      </c>
      <c r="M25" s="58">
        <f t="shared" ref="M25:N25" si="12">M22*M$7</f>
        <v>78.251942068594659</v>
      </c>
      <c r="N25" s="58">
        <f t="shared" si="12"/>
        <v>75.449774794063018</v>
      </c>
    </row>
    <row r="26" spans="1:16" x14ac:dyDescent="0.3">
      <c r="A26" s="43"/>
      <c r="B26" s="43" t="str">
        <f>'Input data'!B81</f>
        <v>Other CCA adjustments</v>
      </c>
      <c r="C26" s="43"/>
      <c r="E26" s="251"/>
      <c r="F26" s="266">
        <f>'Input data'!E81</f>
        <v>-10.372488111716503</v>
      </c>
      <c r="G26" s="345"/>
      <c r="H26" s="345"/>
      <c r="I26" s="345"/>
      <c r="J26" s="345"/>
      <c r="K26" s="345"/>
      <c r="L26" s="345"/>
      <c r="M26" s="345"/>
      <c r="N26" s="345"/>
      <c r="P26" s="20" t="s">
        <v>161</v>
      </c>
    </row>
    <row r="27" spans="1:16" x14ac:dyDescent="0.3">
      <c r="A27" s="43"/>
      <c r="B27" s="43" t="str">
        <f>'Input data'!B82</f>
        <v>Closing NRC</v>
      </c>
      <c r="C27" s="43"/>
      <c r="E27" s="251"/>
      <c r="F27" s="266">
        <f>'Input data'!E82</f>
        <v>4253.4701010107019</v>
      </c>
      <c r="G27" s="58">
        <f>SUM(G22:G26)</f>
        <v>4387.7219574250685</v>
      </c>
      <c r="H27" s="58">
        <f t="shared" ref="H27:L27" si="13">SUM(H22:H26)</f>
        <v>4341.2823748904411</v>
      </c>
      <c r="I27" s="58">
        <f t="shared" si="13"/>
        <v>4292.1211458497855</v>
      </c>
      <c r="J27" s="58">
        <f t="shared" si="13"/>
        <v>4172.1977756374636</v>
      </c>
      <c r="K27" s="58">
        <f t="shared" si="13"/>
        <v>4045.7606221583087</v>
      </c>
      <c r="L27" s="58">
        <f t="shared" si="13"/>
        <v>3912.5971034297327</v>
      </c>
      <c r="M27" s="58">
        <f t="shared" ref="M27:N27" si="14">SUM(M22:M26)</f>
        <v>3772.4887397031507</v>
      </c>
      <c r="N27" s="58">
        <f t="shared" si="14"/>
        <v>3625.2110025861334</v>
      </c>
    </row>
    <row r="28" spans="1:16" ht="14.5" x14ac:dyDescent="0.35">
      <c r="A28" s="43"/>
      <c r="B28" s="45" t="s">
        <v>38</v>
      </c>
      <c r="C28" s="43"/>
      <c r="E28" s="251"/>
      <c r="F28" s="346" t="b">
        <f>SUM(F22:F26)=F27</f>
        <v>1</v>
      </c>
      <c r="G28" s="43"/>
      <c r="H28" s="43"/>
      <c r="I28" s="43"/>
      <c r="J28" s="43"/>
      <c r="K28" s="43"/>
      <c r="L28" s="43"/>
      <c r="M28" s="43"/>
      <c r="N28" s="43"/>
    </row>
    <row r="29" spans="1:16" ht="6" customHeight="1" x14ac:dyDescent="0.3">
      <c r="B29" s="29"/>
      <c r="C29" s="30"/>
      <c r="E29" s="30"/>
      <c r="F29" s="30"/>
    </row>
    <row r="30" spans="1:16" x14ac:dyDescent="0.3">
      <c r="B30" s="37" t="s">
        <v>55</v>
      </c>
      <c r="E30" s="128">
        <f>-AVERAGE(F15,F19)/F24</f>
        <v>43.165265067806189</v>
      </c>
      <c r="G30" s="38"/>
      <c r="H30" s="38"/>
      <c r="I30" s="38"/>
      <c r="J30" s="38"/>
      <c r="K30" s="38"/>
      <c r="L30" s="38"/>
      <c r="O30" s="38"/>
    </row>
    <row r="31" spans="1:16" s="38" customFormat="1" ht="6" customHeight="1" x14ac:dyDescent="0.3">
      <c r="A31" s="147"/>
      <c r="B31" s="147"/>
      <c r="C31" s="147"/>
      <c r="D31" s="147"/>
      <c r="E31" s="148"/>
      <c r="F31" s="148"/>
      <c r="G31" s="148"/>
      <c r="H31" s="148"/>
      <c r="I31" s="148"/>
      <c r="J31" s="148"/>
      <c r="K31" s="148"/>
      <c r="L31" s="148"/>
      <c r="M31" s="148"/>
      <c r="N31" s="148"/>
      <c r="O31" s="148"/>
      <c r="P31" s="148"/>
    </row>
    <row r="32" spans="1:16" s="38" customFormat="1" ht="6" customHeight="1" x14ac:dyDescent="0.3"/>
    <row r="33" spans="1:16" x14ac:dyDescent="0.3">
      <c r="A33" s="44" t="str">
        <f>'Input data'!A84</f>
        <v>Pre 97 Access</v>
      </c>
      <c r="B33" s="43" t="str">
        <f>'Input data'!B84</f>
        <v>Opening GRC</v>
      </c>
      <c r="C33" s="43"/>
      <c r="F33" s="266">
        <f>'Input data'!E84</f>
        <v>4249.8939433552678</v>
      </c>
      <c r="G33" s="58">
        <f>F37</f>
        <v>4734.2825844746849</v>
      </c>
      <c r="H33" s="58">
        <f t="shared" ref="H33:L33" si="15">G37</f>
        <v>4984.4287456873208</v>
      </c>
      <c r="I33" s="58">
        <f t="shared" si="15"/>
        <v>5044.4549723242917</v>
      </c>
      <c r="J33" s="58">
        <f t="shared" si="15"/>
        <v>5111.4810949830116</v>
      </c>
      <c r="K33" s="58">
        <f t="shared" si="15"/>
        <v>5104.4741402928494</v>
      </c>
      <c r="L33" s="58">
        <f t="shared" si="15"/>
        <v>5097.476790923165</v>
      </c>
      <c r="M33" s="58">
        <f t="shared" ref="M33" si="16">L37</f>
        <v>5090.4890337067282</v>
      </c>
      <c r="N33" s="58">
        <f t="shared" ref="N33" si="17">M37</f>
        <v>5083.510855494359</v>
      </c>
    </row>
    <row r="34" spans="1:16" x14ac:dyDescent="0.3">
      <c r="A34" s="44" t="str">
        <f>'Input data'!A85</f>
        <v>RAV- GRC</v>
      </c>
      <c r="B34" s="43" t="str">
        <f>'Input data'!B85</f>
        <v>Net asset registrations</v>
      </c>
      <c r="C34" s="43"/>
      <c r="F34" s="266">
        <f>'Input data'!E85</f>
        <v>-7.2579457461830832E-3</v>
      </c>
      <c r="G34" s="345"/>
      <c r="H34" s="345"/>
      <c r="I34" s="345"/>
      <c r="J34" s="345"/>
      <c r="K34" s="345"/>
      <c r="L34" s="345"/>
      <c r="M34" s="345"/>
      <c r="N34" s="345"/>
      <c r="P34" s="20" t="s">
        <v>160</v>
      </c>
    </row>
    <row r="35" spans="1:16" x14ac:dyDescent="0.3">
      <c r="A35" s="19"/>
      <c r="B35" s="43" t="str">
        <f>'Input data'!B86</f>
        <v>Price movement</v>
      </c>
      <c r="C35" s="43"/>
      <c r="F35" s="266">
        <f>'Input data'!E86</f>
        <v>484.38948151313502</v>
      </c>
      <c r="G35" s="58">
        <f>G33*G$7</f>
        <v>354.06583686917742</v>
      </c>
      <c r="H35" s="58">
        <f t="shared" ref="H35:L35" si="18">H33*H$7</f>
        <v>167.26249570265153</v>
      </c>
      <c r="I35" s="58">
        <f t="shared" si="18"/>
        <v>175.62092975291853</v>
      </c>
      <c r="J35" s="58">
        <f t="shared" si="18"/>
        <v>102.22962189966023</v>
      </c>
      <c r="K35" s="58">
        <f t="shared" si="18"/>
        <v>102.08948280585699</v>
      </c>
      <c r="L35" s="58">
        <f t="shared" si="18"/>
        <v>101.9495358184633</v>
      </c>
      <c r="M35" s="58">
        <f t="shared" ref="M35:N35" si="19">M33*M$7</f>
        <v>101.80978067413457</v>
      </c>
      <c r="N35" s="58">
        <f t="shared" si="19"/>
        <v>101.67021710988718</v>
      </c>
    </row>
    <row r="36" spans="1:16" x14ac:dyDescent="0.3">
      <c r="A36" s="19"/>
      <c r="B36" s="43" t="str">
        <f>'Input data'!B87</f>
        <v>Write outs and Other adjs</v>
      </c>
      <c r="C36" s="43"/>
      <c r="F36" s="266">
        <f>'Input data'!E87</f>
        <v>6.4175520280101376E-3</v>
      </c>
      <c r="G36" s="58">
        <f>G42</f>
        <v>-103.9196756565412</v>
      </c>
      <c r="H36" s="58">
        <f>H42</f>
        <v>-107.23626906568084</v>
      </c>
      <c r="I36" s="58">
        <f t="shared" ref="I36:L36" si="20">I42</f>
        <v>-108.59480709419842</v>
      </c>
      <c r="J36" s="58">
        <f t="shared" si="20"/>
        <v>-109.23657658982187</v>
      </c>
      <c r="K36" s="58">
        <f t="shared" si="20"/>
        <v>-109.08683217554152</v>
      </c>
      <c r="L36" s="58">
        <f t="shared" si="20"/>
        <v>-108.93729303490036</v>
      </c>
      <c r="M36" s="58">
        <f t="shared" ref="M36:N36" si="21">M42</f>
        <v>-108.78795888650382</v>
      </c>
      <c r="N36" s="58">
        <f t="shared" si="21"/>
        <v>-108.28446707495047</v>
      </c>
      <c r="P36" s="20" t="s">
        <v>200</v>
      </c>
    </row>
    <row r="37" spans="1:16" x14ac:dyDescent="0.3">
      <c r="A37" s="19"/>
      <c r="B37" s="43" t="str">
        <f>'Input data'!B88</f>
        <v>Closing GRC</v>
      </c>
      <c r="C37" s="43"/>
      <c r="F37" s="266">
        <f>'Input data'!E88</f>
        <v>4734.2825844746849</v>
      </c>
      <c r="G37" s="58">
        <f>SUM(G33:G36)</f>
        <v>4984.4287456873208</v>
      </c>
      <c r="H37" s="58">
        <f t="shared" ref="H37:L37" si="22">SUM(H33:H36)</f>
        <v>5044.4549723242917</v>
      </c>
      <c r="I37" s="58">
        <f t="shared" si="22"/>
        <v>5111.4810949830116</v>
      </c>
      <c r="J37" s="58">
        <f t="shared" si="22"/>
        <v>5104.4741402928494</v>
      </c>
      <c r="K37" s="58">
        <f t="shared" si="22"/>
        <v>5097.476790923165</v>
      </c>
      <c r="L37" s="58">
        <f t="shared" si="22"/>
        <v>5090.4890337067282</v>
      </c>
      <c r="M37" s="58">
        <f t="shared" ref="M37:N37" si="23">SUM(M33:M36)</f>
        <v>5083.510855494359</v>
      </c>
      <c r="N37" s="58">
        <f t="shared" si="23"/>
        <v>5076.8966055292958</v>
      </c>
    </row>
    <row r="38" spans="1:16" ht="14.5" x14ac:dyDescent="0.35">
      <c r="A38" s="19"/>
      <c r="B38" s="29" t="s">
        <v>38</v>
      </c>
      <c r="C38" s="43"/>
      <c r="F38" s="347" t="b">
        <f>SUM(F33:F36)=F37</f>
        <v>1</v>
      </c>
      <c r="G38" s="43"/>
      <c r="H38" s="43"/>
      <c r="I38" s="43"/>
      <c r="J38" s="43"/>
      <c r="K38" s="43"/>
      <c r="L38" s="43"/>
      <c r="M38" s="43"/>
      <c r="N38" s="43"/>
    </row>
    <row r="39" spans="1:16" x14ac:dyDescent="0.3">
      <c r="A39" s="19"/>
      <c r="C39" s="43"/>
      <c r="F39" s="127"/>
      <c r="G39" s="43"/>
      <c r="H39" s="43"/>
      <c r="I39" s="43"/>
      <c r="J39" s="43"/>
      <c r="K39" s="43"/>
      <c r="L39" s="43"/>
      <c r="M39" s="43"/>
      <c r="N39" s="43"/>
    </row>
    <row r="40" spans="1:16" x14ac:dyDescent="0.3">
      <c r="A40" s="44" t="str">
        <f>'Input data'!A90</f>
        <v>Pre 97 Access</v>
      </c>
      <c r="B40" s="43" t="str">
        <f>'Input data'!B90</f>
        <v>Duct Opening NRC</v>
      </c>
      <c r="C40" s="43"/>
      <c r="F40" s="266">
        <f>'Input data'!E90</f>
        <v>748.1283906255926</v>
      </c>
      <c r="G40" s="58">
        <f>F45</f>
        <v>734.11862362893305</v>
      </c>
      <c r="H40" s="58">
        <f t="shared" ref="H40:L40" si="24">G45</f>
        <v>685.10194968353028</v>
      </c>
      <c r="I40" s="58">
        <f t="shared" si="24"/>
        <v>600.85564953133189</v>
      </c>
      <c r="J40" s="58">
        <f t="shared" si="24"/>
        <v>513.17942103421137</v>
      </c>
      <c r="K40" s="58">
        <f t="shared" si="24"/>
        <v>414.20643286507374</v>
      </c>
      <c r="L40" s="58">
        <f t="shared" si="24"/>
        <v>313.4037293468337</v>
      </c>
      <c r="M40" s="58">
        <f t="shared" ref="M40" si="25">L45</f>
        <v>210.73451089887001</v>
      </c>
      <c r="N40" s="58">
        <f t="shared" ref="N40" si="26">M45</f>
        <v>106.1612422303436</v>
      </c>
    </row>
    <row r="41" spans="1:16" x14ac:dyDescent="0.3">
      <c r="A41" s="44" t="str">
        <f>'Input data'!A91</f>
        <v>RAV- NRC</v>
      </c>
      <c r="B41" s="43" t="str">
        <f>'Input data'!B91</f>
        <v>Net Asset registrations</v>
      </c>
      <c r="C41" s="43"/>
      <c r="F41" s="266">
        <f>'Input data'!E91</f>
        <v>-6.5703508860183706E-3</v>
      </c>
      <c r="G41" s="345"/>
      <c r="H41" s="345"/>
      <c r="I41" s="345"/>
      <c r="J41" s="345"/>
      <c r="K41" s="345"/>
      <c r="L41" s="345"/>
      <c r="M41" s="345"/>
      <c r="N41" s="345"/>
      <c r="P41" s="20" t="s">
        <v>160</v>
      </c>
    </row>
    <row r="42" spans="1:16" x14ac:dyDescent="0.3">
      <c r="B42" s="43" t="str">
        <f>'Input data'!B92</f>
        <v>OCM depreciation</v>
      </c>
      <c r="C42" s="43"/>
      <c r="F42" s="266">
        <f>'Input data'!E92</f>
        <v>-95.049148263856324</v>
      </c>
      <c r="G42" s="300">
        <f>-MIN(AVERAGE(G33,G33+G35)/$E$48,G43+G40)</f>
        <v>-103.9196756565412</v>
      </c>
      <c r="H42" s="300">
        <f t="shared" ref="H42:N42" si="27">-MIN(AVERAGE(H33,H33+H35)/$E$48,H43+H40)</f>
        <v>-107.23626906568084</v>
      </c>
      <c r="I42" s="300">
        <f t="shared" si="27"/>
        <v>-108.59480709419842</v>
      </c>
      <c r="J42" s="300">
        <f t="shared" si="27"/>
        <v>-109.23657658982187</v>
      </c>
      <c r="K42" s="300">
        <f t="shared" si="27"/>
        <v>-109.08683217554152</v>
      </c>
      <c r="L42" s="300">
        <f t="shared" si="27"/>
        <v>-108.93729303490036</v>
      </c>
      <c r="M42" s="300">
        <f t="shared" si="27"/>
        <v>-108.78795888650382</v>
      </c>
      <c r="N42" s="300">
        <f t="shared" si="27"/>
        <v>-108.28446707495047</v>
      </c>
    </row>
    <row r="43" spans="1:16" x14ac:dyDescent="0.3">
      <c r="B43" s="43" t="str">
        <f>'Input data'!B93</f>
        <v>Price movement</v>
      </c>
      <c r="C43" s="43"/>
      <c r="F43" s="266">
        <f>'Input data'!E93</f>
        <v>81.038617272907942</v>
      </c>
      <c r="G43" s="58">
        <f>G40*G$7</f>
        <v>54.903001711138515</v>
      </c>
      <c r="H43" s="58">
        <f t="shared" ref="H43:L43" si="28">H40*H$7</f>
        <v>22.989968913482418</v>
      </c>
      <c r="I43" s="58">
        <f t="shared" si="28"/>
        <v>20.918578597077929</v>
      </c>
      <c r="J43" s="58">
        <f t="shared" si="28"/>
        <v>10.263588420684227</v>
      </c>
      <c r="K43" s="58">
        <f t="shared" si="28"/>
        <v>8.2841286573014745</v>
      </c>
      <c r="L43" s="58">
        <f t="shared" si="28"/>
        <v>6.2680745869366739</v>
      </c>
      <c r="M43" s="58">
        <f t="shared" ref="M43:N43" si="29">M40*M$7</f>
        <v>4.2146902179774006</v>
      </c>
      <c r="N43" s="58">
        <f t="shared" si="29"/>
        <v>2.123224844606872</v>
      </c>
    </row>
    <row r="44" spans="1:16" x14ac:dyDescent="0.3">
      <c r="B44" s="43" t="str">
        <f>'Input data'!B94</f>
        <v>Other CCA adjustments</v>
      </c>
      <c r="C44" s="43"/>
      <c r="F44" s="266">
        <f>'Input data'!E94</f>
        <v>7.3343451748687288E-3</v>
      </c>
      <c r="G44" s="345"/>
      <c r="H44" s="345"/>
      <c r="I44" s="345"/>
      <c r="J44" s="345"/>
      <c r="K44" s="345"/>
      <c r="L44" s="345"/>
      <c r="M44" s="345"/>
      <c r="N44" s="345"/>
      <c r="P44" s="20" t="s">
        <v>161</v>
      </c>
    </row>
    <row r="45" spans="1:16" x14ac:dyDescent="0.3">
      <c r="B45" s="43" t="str">
        <f>'Input data'!B95</f>
        <v>Closing NRC</v>
      </c>
      <c r="C45" s="43"/>
      <c r="F45" s="266">
        <f>'Input data'!E95</f>
        <v>734.11862362893305</v>
      </c>
      <c r="G45" s="58">
        <f>SUM(G40:G44)</f>
        <v>685.10194968353028</v>
      </c>
      <c r="H45" s="58">
        <f t="shared" ref="H45:L45" si="30">SUM(H40:H44)</f>
        <v>600.85564953133189</v>
      </c>
      <c r="I45" s="58">
        <f t="shared" si="30"/>
        <v>513.17942103421137</v>
      </c>
      <c r="J45" s="58">
        <f t="shared" si="30"/>
        <v>414.20643286507374</v>
      </c>
      <c r="K45" s="58">
        <f t="shared" si="30"/>
        <v>313.4037293468337</v>
      </c>
      <c r="L45" s="58">
        <f t="shared" si="30"/>
        <v>210.73451089887001</v>
      </c>
      <c r="M45" s="58">
        <f t="shared" ref="M45:N45" si="31">SUM(M40:M44)</f>
        <v>106.1612422303436</v>
      </c>
      <c r="N45" s="58">
        <f t="shared" si="31"/>
        <v>5.3290705182007514E-15</v>
      </c>
    </row>
    <row r="46" spans="1:16" ht="14.5" x14ac:dyDescent="0.35">
      <c r="B46" s="29" t="s">
        <v>38</v>
      </c>
      <c r="F46" s="346" t="b">
        <f t="shared" ref="F46" si="32">IF(ABS(SUM(F40:F44)-F45)&lt;0.0001,TRUE,FALSE)</f>
        <v>1</v>
      </c>
    </row>
    <row r="47" spans="1:16" ht="6" customHeight="1" x14ac:dyDescent="0.3">
      <c r="B47" s="29"/>
      <c r="C47" s="31"/>
      <c r="E47" s="30"/>
    </row>
    <row r="48" spans="1:16" x14ac:dyDescent="0.3">
      <c r="B48" s="37" t="s">
        <v>55</v>
      </c>
      <c r="E48" s="128">
        <f>-AVERAGE(F33,F37)/F42</f>
        <v>47.260689295657286</v>
      </c>
      <c r="F48" s="128"/>
      <c r="G48" s="128"/>
      <c r="H48" s="128"/>
      <c r="I48" s="128"/>
      <c r="J48" s="128"/>
      <c r="K48" s="128"/>
      <c r="L48" s="128"/>
      <c r="M48" s="128"/>
      <c r="N48" s="128"/>
    </row>
    <row r="49" spans="1:16" s="38" customFormat="1" ht="6" customHeight="1" x14ac:dyDescent="0.3">
      <c r="A49" s="147"/>
      <c r="B49" s="147"/>
      <c r="C49" s="147"/>
      <c r="D49" s="147"/>
      <c r="E49" s="148"/>
      <c r="F49" s="148"/>
      <c r="G49" s="148"/>
      <c r="H49" s="148"/>
      <c r="I49" s="148"/>
      <c r="J49" s="148"/>
      <c r="K49" s="148"/>
      <c r="L49" s="148"/>
      <c r="M49" s="148"/>
      <c r="N49" s="148"/>
      <c r="O49" s="148"/>
      <c r="P49" s="148"/>
    </row>
    <row r="50" spans="1:16" s="38" customFormat="1" ht="6" customHeight="1" x14ac:dyDescent="0.3"/>
    <row r="51" spans="1:16" x14ac:dyDescent="0.3">
      <c r="A51" s="19" t="str">
        <f>'Input data'!A97</f>
        <v>Pre 97 Other</v>
      </c>
      <c r="B51" s="43" t="str">
        <f>'Input data'!B97</f>
        <v>Opening GRC</v>
      </c>
      <c r="C51" s="43"/>
      <c r="F51" s="266">
        <f>'Input data'!E97</f>
        <v>1828.00357998193</v>
      </c>
      <c r="G51" s="58">
        <f>F55</f>
        <v>2105.9055393083386</v>
      </c>
      <c r="H51" s="58">
        <f t="shared" ref="H51:L51" si="33">G55</f>
        <v>2216.6373940661551</v>
      </c>
      <c r="I51" s="58">
        <f t="shared" si="33"/>
        <v>2242.7764947890091</v>
      </c>
      <c r="J51" s="58">
        <f t="shared" si="33"/>
        <v>2272.0142620184733</v>
      </c>
      <c r="K51" s="58">
        <f t="shared" si="33"/>
        <v>2268.3343377696215</v>
      </c>
      <c r="L51" s="58">
        <f t="shared" si="33"/>
        <v>2264.6603738013469</v>
      </c>
      <c r="M51" s="58">
        <f t="shared" ref="M51" si="34">L55</f>
        <v>2280.1821178034675</v>
      </c>
      <c r="N51" s="58">
        <f t="shared" ref="N51" si="35">M55</f>
        <v>2325.7857601595369</v>
      </c>
    </row>
    <row r="52" spans="1:16" x14ac:dyDescent="0.3">
      <c r="A52" s="40" t="str">
        <f>'Input data'!A98</f>
        <v>CCA - GRC</v>
      </c>
      <c r="B52" s="43" t="str">
        <f>'Input data'!B98</f>
        <v>Net asset registrations</v>
      </c>
      <c r="C52" s="43"/>
      <c r="F52" s="266">
        <f>'Input data'!E98</f>
        <v>-2.1250772956946337E-3</v>
      </c>
      <c r="G52" s="345"/>
      <c r="H52" s="345"/>
      <c r="I52" s="345"/>
      <c r="J52" s="345"/>
      <c r="K52" s="345"/>
      <c r="L52" s="345"/>
      <c r="M52" s="345"/>
      <c r="N52" s="345"/>
      <c r="P52" s="20" t="s">
        <v>160</v>
      </c>
    </row>
    <row r="53" spans="1:16" x14ac:dyDescent="0.3">
      <c r="A53" s="19"/>
      <c r="B53" s="43" t="str">
        <f>'Input data'!B99</f>
        <v>Price movement</v>
      </c>
      <c r="C53" s="43"/>
      <c r="F53" s="266">
        <f>'Input data'!E99</f>
        <v>277.90408440370425</v>
      </c>
      <c r="G53" s="58">
        <f>G51*G$7</f>
        <v>157.49571214608395</v>
      </c>
      <c r="H53" s="58">
        <f t="shared" ref="H53:L53" si="36">H51*H$7</f>
        <v>74.383710053056731</v>
      </c>
      <c r="I53" s="58">
        <f t="shared" si="36"/>
        <v>78.08147667167168</v>
      </c>
      <c r="J53" s="58">
        <f t="shared" si="36"/>
        <v>45.440285240369469</v>
      </c>
      <c r="K53" s="58">
        <f t="shared" si="36"/>
        <v>45.366686755392429</v>
      </c>
      <c r="L53" s="58">
        <f t="shared" si="36"/>
        <v>45.293207476026936</v>
      </c>
      <c r="M53" s="58">
        <f t="shared" ref="M53:N53" si="37">M51*M$7</f>
        <v>45.603642356069351</v>
      </c>
      <c r="N53" s="58">
        <f t="shared" si="37"/>
        <v>46.515715203190737</v>
      </c>
    </row>
    <row r="54" spans="1:16" x14ac:dyDescent="0.3">
      <c r="A54" s="19"/>
      <c r="B54" s="43" t="str">
        <f>'Input data'!B100</f>
        <v>Write outs and Other adjs</v>
      </c>
      <c r="C54" s="43"/>
      <c r="F54" s="266">
        <f>'Input data'!E100</f>
        <v>0</v>
      </c>
      <c r="G54" s="58">
        <f>G60</f>
        <v>-46.763857388267112</v>
      </c>
      <c r="H54" s="58">
        <f t="shared" ref="H54:L54" si="38">H60</f>
        <v>-48.244609330202621</v>
      </c>
      <c r="I54" s="58">
        <f t="shared" si="38"/>
        <v>-48.843709442207633</v>
      </c>
      <c r="J54" s="58">
        <f t="shared" si="38"/>
        <v>-49.120209489221395</v>
      </c>
      <c r="K54" s="58">
        <f t="shared" si="38"/>
        <v>-49.040650723667042</v>
      </c>
      <c r="L54" s="58">
        <f t="shared" si="38"/>
        <v>-29.771463473906469</v>
      </c>
      <c r="M54" s="58">
        <f t="shared" ref="M54:N54" si="39">M60</f>
        <v>-1.2456702336294257E-15</v>
      </c>
      <c r="N54" s="58">
        <f t="shared" si="39"/>
        <v>7.2291706392519288E-32</v>
      </c>
      <c r="P54" s="20" t="s">
        <v>200</v>
      </c>
    </row>
    <row r="55" spans="1:16" x14ac:dyDescent="0.3">
      <c r="A55" s="19"/>
      <c r="B55" s="43" t="str">
        <f>'Input data'!B101</f>
        <v>Closing GRC</v>
      </c>
      <c r="C55" s="43"/>
      <c r="F55" s="266">
        <f>'Input data'!E101</f>
        <v>2105.9055393083386</v>
      </c>
      <c r="G55" s="58">
        <f>SUM(G51:G54)</f>
        <v>2216.6373940661551</v>
      </c>
      <c r="H55" s="58">
        <f t="shared" ref="H55:L55" si="40">SUM(H51:H54)</f>
        <v>2242.7764947890091</v>
      </c>
      <c r="I55" s="58">
        <f t="shared" si="40"/>
        <v>2272.0142620184733</v>
      </c>
      <c r="J55" s="58">
        <f t="shared" si="40"/>
        <v>2268.3343377696215</v>
      </c>
      <c r="K55" s="58">
        <f t="shared" si="40"/>
        <v>2264.6603738013469</v>
      </c>
      <c r="L55" s="58">
        <f t="shared" si="40"/>
        <v>2280.1821178034675</v>
      </c>
      <c r="M55" s="58">
        <f t="shared" ref="M55:N55" si="41">SUM(M51:M54)</f>
        <v>2325.7857601595369</v>
      </c>
      <c r="N55" s="58">
        <f t="shared" si="41"/>
        <v>2372.3014753627276</v>
      </c>
    </row>
    <row r="56" spans="1:16" ht="14.5" x14ac:dyDescent="0.35">
      <c r="A56" s="19"/>
      <c r="B56" s="29" t="s">
        <v>38</v>
      </c>
      <c r="C56" s="43"/>
      <c r="F56" s="348" t="b">
        <f>SUM(F51:F54)=F55</f>
        <v>1</v>
      </c>
      <c r="G56" s="43"/>
      <c r="H56" s="43"/>
      <c r="I56" s="43"/>
      <c r="J56" s="43"/>
      <c r="K56" s="43"/>
      <c r="L56" s="43"/>
      <c r="M56" s="43"/>
      <c r="N56" s="43"/>
    </row>
    <row r="57" spans="1:16" x14ac:dyDescent="0.3">
      <c r="A57" s="19"/>
      <c r="C57" s="43"/>
      <c r="F57" s="267"/>
      <c r="G57" s="43"/>
      <c r="H57" s="43"/>
      <c r="I57" s="43"/>
      <c r="J57" s="43"/>
      <c r="K57" s="43"/>
      <c r="L57" s="43"/>
      <c r="M57" s="43"/>
      <c r="N57" s="43"/>
    </row>
    <row r="58" spans="1:16" x14ac:dyDescent="0.3">
      <c r="A58" s="44" t="str">
        <f>'Input data'!A103</f>
        <v>Pre 97 Other</v>
      </c>
      <c r="B58" s="43" t="str">
        <f>'Input data'!B103</f>
        <v>Duct Opening NRC</v>
      </c>
      <c r="C58" s="43"/>
      <c r="F58" s="266">
        <f>'Input data'!E103</f>
        <v>247.74011499548857</v>
      </c>
      <c r="G58" s="58">
        <f>F63</f>
        <v>236.73316820430983</v>
      </c>
      <c r="H58" s="58">
        <f t="shared" ref="H58:L58" si="42">G63</f>
        <v>207.67402653998829</v>
      </c>
      <c r="I58" s="58">
        <f t="shared" si="42"/>
        <v>166.39833536349624</v>
      </c>
      <c r="J58" s="58">
        <f t="shared" si="42"/>
        <v>123.34772557748603</v>
      </c>
      <c r="K58" s="58">
        <f t="shared" si="42"/>
        <v>76.694470599814352</v>
      </c>
      <c r="L58" s="58">
        <f t="shared" si="42"/>
        <v>29.187709288143598</v>
      </c>
      <c r="M58" s="58">
        <f t="shared" ref="M58" si="43">L63</f>
        <v>1.2212453270876722E-15</v>
      </c>
      <c r="N58" s="58">
        <f t="shared" ref="N58" si="44">M63</f>
        <v>-7.0874221953450279E-32</v>
      </c>
    </row>
    <row r="59" spans="1:16" x14ac:dyDescent="0.3">
      <c r="A59" s="44" t="str">
        <f>'Input data'!A104</f>
        <v>CCA - NRC</v>
      </c>
      <c r="B59" s="43" t="str">
        <f>'Input data'!B104</f>
        <v>Net Asset registrations</v>
      </c>
      <c r="C59" s="43"/>
      <c r="F59" s="266">
        <f>'Input data'!E104</f>
        <v>-1.9353382514361839E-3</v>
      </c>
      <c r="G59" s="345"/>
      <c r="H59" s="345"/>
      <c r="I59" s="345"/>
      <c r="J59" s="345"/>
      <c r="K59" s="345"/>
      <c r="L59" s="345"/>
      <c r="M59" s="345"/>
      <c r="N59" s="345"/>
      <c r="P59" s="20" t="s">
        <v>160</v>
      </c>
    </row>
    <row r="60" spans="1:16" x14ac:dyDescent="0.3">
      <c r="A60" s="43">
        <f>'Input data'!A105</f>
        <v>0</v>
      </c>
      <c r="B60" s="43" t="str">
        <f>'Input data'!B105</f>
        <v>OCM depreciation</v>
      </c>
      <c r="C60" s="43"/>
      <c r="F60" s="266">
        <f>'Input data'!E105</f>
        <v>-42.103879137490914</v>
      </c>
      <c r="G60" s="300">
        <f>-MIN(AVERAGE(G51,G51+G53)/$E$66, G58+G61)</f>
        <v>-46.763857388267112</v>
      </c>
      <c r="H60" s="300">
        <f t="shared" ref="H60:N60" si="45">-MIN(AVERAGE(H51,H51+H53)/$E$66, H58+H61)</f>
        <v>-48.244609330202621</v>
      </c>
      <c r="I60" s="300">
        <f t="shared" si="45"/>
        <v>-48.843709442207633</v>
      </c>
      <c r="J60" s="300">
        <f t="shared" si="45"/>
        <v>-49.120209489221395</v>
      </c>
      <c r="K60" s="300">
        <f t="shared" si="45"/>
        <v>-49.040650723667042</v>
      </c>
      <c r="L60" s="300">
        <f t="shared" si="45"/>
        <v>-29.771463473906469</v>
      </c>
      <c r="M60" s="300">
        <f t="shared" si="45"/>
        <v>-1.2456702336294257E-15</v>
      </c>
      <c r="N60" s="300">
        <f t="shared" si="45"/>
        <v>7.2291706392519288E-32</v>
      </c>
    </row>
    <row r="61" spans="1:16" x14ac:dyDescent="0.3">
      <c r="A61" s="43">
        <f>'Input data'!A106</f>
        <v>0</v>
      </c>
      <c r="B61" s="43" t="str">
        <f>'Input data'!B106</f>
        <v>Price movement</v>
      </c>
      <c r="C61" s="43"/>
      <c r="F61" s="266">
        <f>'Input data'!E106</f>
        <v>31.098867684563594</v>
      </c>
      <c r="G61" s="58">
        <f t="shared" ref="G61:L61" si="46">G58*G$7</f>
        <v>17.704715723945586</v>
      </c>
      <c r="H61" s="58">
        <f t="shared" si="46"/>
        <v>6.9689181537105611</v>
      </c>
      <c r="I61" s="58">
        <f t="shared" si="46"/>
        <v>5.7930996561974064</v>
      </c>
      <c r="J61" s="58">
        <f t="shared" si="46"/>
        <v>2.4669545115497207</v>
      </c>
      <c r="K61" s="58">
        <f t="shared" si="46"/>
        <v>1.5338894119962871</v>
      </c>
      <c r="L61" s="58">
        <f t="shared" si="46"/>
        <v>0.58375418576287197</v>
      </c>
      <c r="M61" s="58">
        <f t="shared" ref="M61:N61" si="47">M58*M$7</f>
        <v>2.4424906541753444E-17</v>
      </c>
      <c r="N61" s="58">
        <f t="shared" si="47"/>
        <v>-1.4174844390690056E-33</v>
      </c>
    </row>
    <row r="62" spans="1:16" x14ac:dyDescent="0.3">
      <c r="A62" s="43">
        <f>'Input data'!A107</f>
        <v>0</v>
      </c>
      <c r="B62" s="43" t="str">
        <f>'Input data'!B107</f>
        <v>Other CCA adjustments</v>
      </c>
      <c r="C62" s="43"/>
      <c r="F62" s="266">
        <f>'Input data'!E107</f>
        <v>0</v>
      </c>
      <c r="G62" s="345"/>
      <c r="H62" s="345"/>
      <c r="I62" s="345"/>
      <c r="J62" s="345"/>
      <c r="K62" s="345"/>
      <c r="L62" s="345"/>
      <c r="M62" s="345"/>
      <c r="N62" s="345"/>
      <c r="P62" s="20" t="s">
        <v>161</v>
      </c>
    </row>
    <row r="63" spans="1:16" x14ac:dyDescent="0.3">
      <c r="B63" s="43" t="str">
        <f>'Input data'!B108</f>
        <v>Closing NRC</v>
      </c>
      <c r="C63" s="43"/>
      <c r="F63" s="266">
        <f>'Input data'!E108</f>
        <v>236.73316820430983</v>
      </c>
      <c r="G63" s="58">
        <f>SUM(G58:G62)</f>
        <v>207.67402653998829</v>
      </c>
      <c r="H63" s="58">
        <f t="shared" ref="H63:L63" si="48">SUM(H58:H62)</f>
        <v>166.39833536349624</v>
      </c>
      <c r="I63" s="58">
        <f t="shared" si="48"/>
        <v>123.34772557748603</v>
      </c>
      <c r="J63" s="58">
        <f t="shared" si="48"/>
        <v>76.694470599814352</v>
      </c>
      <c r="K63" s="58">
        <f t="shared" si="48"/>
        <v>29.187709288143598</v>
      </c>
      <c r="L63" s="58">
        <f t="shared" si="48"/>
        <v>1.2212453270876722E-15</v>
      </c>
      <c r="M63" s="58">
        <f t="shared" ref="M63:N63" si="49">SUM(M58:M62)</f>
        <v>-7.0874221953450279E-32</v>
      </c>
      <c r="N63" s="58">
        <f t="shared" si="49"/>
        <v>2.5658541216885078E-48</v>
      </c>
    </row>
    <row r="64" spans="1:16" ht="14.5" x14ac:dyDescent="0.35">
      <c r="B64" s="29" t="s">
        <v>38</v>
      </c>
      <c r="F64" s="346" t="b">
        <f t="shared" ref="F64" si="50">IF(ABS(SUM(F58:F62)-F63)&lt;0.0001,TRUE,FALSE)</f>
        <v>1</v>
      </c>
    </row>
    <row r="65" spans="1:16" ht="6" customHeight="1" x14ac:dyDescent="0.3">
      <c r="E65" s="30"/>
    </row>
    <row r="66" spans="1:16" x14ac:dyDescent="0.3">
      <c r="B66" s="37" t="s">
        <v>55</v>
      </c>
      <c r="E66" s="128">
        <f>-AVERAGE(F51,F55)/F60</f>
        <v>46.716706392349543</v>
      </c>
      <c r="F66" s="128"/>
      <c r="G66" s="128"/>
      <c r="H66" s="128"/>
      <c r="I66" s="128"/>
      <c r="J66" s="128"/>
      <c r="K66" s="128"/>
      <c r="L66" s="128"/>
      <c r="M66" s="128"/>
      <c r="N66" s="128"/>
    </row>
    <row r="67" spans="1:16" s="38" customFormat="1" ht="6" customHeight="1" x14ac:dyDescent="0.3">
      <c r="A67" s="147"/>
      <c r="B67" s="147"/>
      <c r="C67" s="147"/>
      <c r="D67" s="147"/>
      <c r="E67" s="148"/>
      <c r="F67" s="148"/>
      <c r="G67" s="148"/>
      <c r="H67" s="148"/>
      <c r="I67" s="148"/>
      <c r="J67" s="148"/>
      <c r="K67" s="148"/>
      <c r="L67" s="148"/>
      <c r="M67" s="148"/>
      <c r="N67" s="148"/>
      <c r="O67" s="148"/>
      <c r="P67" s="148"/>
    </row>
    <row r="68" spans="1:16" s="38" customFormat="1" ht="6" customHeight="1" x14ac:dyDescent="0.3"/>
    <row r="69" spans="1:16" x14ac:dyDescent="0.3">
      <c r="A69" s="19" t="s">
        <v>65</v>
      </c>
      <c r="B69" s="18" t="str">
        <f>B51</f>
        <v>Opening GRC</v>
      </c>
      <c r="C69" s="43"/>
      <c r="F69" s="266">
        <f>SUM(F51,F33,F15)</f>
        <v>12913.620651765861</v>
      </c>
      <c r="G69" s="58">
        <f>SUM(G51,G33,G15)</f>
        <v>14490.278216250401</v>
      </c>
      <c r="H69" s="58">
        <f t="shared" ref="H69:L69" si="51">SUM(H51,H33,H15)</f>
        <v>15423.288440719894</v>
      </c>
      <c r="I69" s="58">
        <f t="shared" si="51"/>
        <v>15785.366915292741</v>
      </c>
      <c r="J69" s="58">
        <f t="shared" si="51"/>
        <v>16177.490408797894</v>
      </c>
      <c r="K69" s="58">
        <f t="shared" si="51"/>
        <v>16342.683430894807</v>
      </c>
      <c r="L69" s="58">
        <f t="shared" si="51"/>
        <v>16511.409616613499</v>
      </c>
      <c r="M69" s="58">
        <f t="shared" ref="M69:N69" si="52">SUM(M51,M33,M15)</f>
        <v>16702.929052436961</v>
      </c>
      <c r="N69" s="58">
        <f t="shared" si="52"/>
        <v>16928.199674599196</v>
      </c>
    </row>
    <row r="70" spans="1:16" x14ac:dyDescent="0.3">
      <c r="A70" s="19" t="s">
        <v>59</v>
      </c>
      <c r="B70" s="18" t="str">
        <f t="shared" ref="B70:B73" si="53">B52</f>
        <v>Net asset registrations</v>
      </c>
      <c r="C70" s="43"/>
      <c r="F70" s="266">
        <f>SUM(F52,F34,F16)</f>
        <v>-9.3830230418777173E-3</v>
      </c>
      <c r="G70" s="58">
        <f t="shared" ref="G70:L70" si="54">SUM(G52,G34,G16)</f>
        <v>0</v>
      </c>
      <c r="H70" s="58">
        <f t="shared" si="54"/>
        <v>0</v>
      </c>
      <c r="I70" s="58">
        <f t="shared" si="54"/>
        <v>0</v>
      </c>
      <c r="J70" s="58">
        <f t="shared" si="54"/>
        <v>0</v>
      </c>
      <c r="K70" s="58">
        <f t="shared" si="54"/>
        <v>0</v>
      </c>
      <c r="L70" s="58">
        <f t="shared" si="54"/>
        <v>0</v>
      </c>
      <c r="M70" s="58">
        <f t="shared" ref="M70:N70" si="55">SUM(M52,M34,M16)</f>
        <v>0</v>
      </c>
      <c r="N70" s="58">
        <f t="shared" si="55"/>
        <v>0</v>
      </c>
    </row>
    <row r="71" spans="1:16" x14ac:dyDescent="0.3">
      <c r="B71" s="18" t="str">
        <f t="shared" si="53"/>
        <v>Price movement</v>
      </c>
      <c r="C71" s="43"/>
      <c r="F71" s="266">
        <f>SUM(F53,F35,F17)</f>
        <v>1587.8233028757793</v>
      </c>
      <c r="G71" s="58">
        <f t="shared" ref="G71:L71" si="56">SUM(G53,G35,G17)</f>
        <v>1083.6937575143056</v>
      </c>
      <c r="H71" s="58">
        <f t="shared" si="56"/>
        <v>517.55935296872963</v>
      </c>
      <c r="I71" s="58">
        <f t="shared" si="56"/>
        <v>549.56201004155821</v>
      </c>
      <c r="J71" s="58">
        <f t="shared" si="56"/>
        <v>323.54980817595788</v>
      </c>
      <c r="K71" s="58">
        <f t="shared" si="56"/>
        <v>326.85366861789618</v>
      </c>
      <c r="L71" s="58">
        <f t="shared" si="56"/>
        <v>330.22819233226994</v>
      </c>
      <c r="M71" s="58">
        <f t="shared" ref="M71:N71" si="57">SUM(M53,M35,M17)</f>
        <v>334.0585810487392</v>
      </c>
      <c r="N71" s="58">
        <f t="shared" si="57"/>
        <v>338.56399349198387</v>
      </c>
    </row>
    <row r="72" spans="1:16" x14ac:dyDescent="0.3">
      <c r="B72" s="18" t="str">
        <f t="shared" si="53"/>
        <v>Write outs and Other adjs</v>
      </c>
      <c r="C72" s="43"/>
      <c r="F72" s="266">
        <f>SUM(F54,F36,F18)</f>
        <v>-11.156355368200225</v>
      </c>
      <c r="G72" s="58">
        <f t="shared" ref="G72:L72" si="58">SUM(G54,G36,G18)</f>
        <v>-150.68353304480831</v>
      </c>
      <c r="H72" s="58">
        <f t="shared" si="58"/>
        <v>-155.48087839588345</v>
      </c>
      <c r="I72" s="58">
        <f t="shared" si="58"/>
        <v>-157.43851653640604</v>
      </c>
      <c r="J72" s="58">
        <f t="shared" si="58"/>
        <v>-158.35678607904327</v>
      </c>
      <c r="K72" s="58">
        <f t="shared" si="58"/>
        <v>-158.12748289920856</v>
      </c>
      <c r="L72" s="58">
        <f t="shared" si="58"/>
        <v>-138.70875650880683</v>
      </c>
      <c r="M72" s="58">
        <f t="shared" ref="M72:N72" si="59">SUM(M54,M36,M18)</f>
        <v>-108.78795888650382</v>
      </c>
      <c r="N72" s="58">
        <f t="shared" si="59"/>
        <v>-108.28446707495047</v>
      </c>
    </row>
    <row r="73" spans="1:16" x14ac:dyDescent="0.3">
      <c r="B73" s="18" t="str">
        <f t="shared" si="53"/>
        <v>Closing GRC</v>
      </c>
      <c r="C73" s="43"/>
      <c r="F73" s="266">
        <f>SUM(F55,F37,F19)</f>
        <v>14490.278216250401</v>
      </c>
      <c r="G73" s="58">
        <f t="shared" ref="G73:L73" si="60">SUM(G55,G37,G19)</f>
        <v>15423.288440719894</v>
      </c>
      <c r="H73" s="58">
        <f t="shared" si="60"/>
        <v>15785.366915292741</v>
      </c>
      <c r="I73" s="58">
        <f t="shared" si="60"/>
        <v>16177.490408797894</v>
      </c>
      <c r="J73" s="58">
        <f t="shared" si="60"/>
        <v>16342.683430894807</v>
      </c>
      <c r="K73" s="58">
        <f t="shared" si="60"/>
        <v>16511.409616613499</v>
      </c>
      <c r="L73" s="58">
        <f t="shared" si="60"/>
        <v>16702.929052436961</v>
      </c>
      <c r="M73" s="58">
        <f t="shared" ref="M73:N73" si="61">SUM(M55,M37,M19)</f>
        <v>16928.199674599196</v>
      </c>
      <c r="N73" s="58">
        <f t="shared" si="61"/>
        <v>17158.479201016227</v>
      </c>
    </row>
    <row r="74" spans="1:16" ht="14.5" x14ac:dyDescent="0.35">
      <c r="B74" s="29" t="s">
        <v>38</v>
      </c>
      <c r="C74" s="43"/>
      <c r="F74" s="349" t="b">
        <f>SUM(F69:F72)=F73</f>
        <v>1</v>
      </c>
      <c r="G74" s="349" t="b">
        <f>G73=SUM(G69:G72)</f>
        <v>1</v>
      </c>
      <c r="H74" s="349" t="b">
        <f t="shared" ref="H74:L74" si="62">H73=SUM(H69:H72)</f>
        <v>1</v>
      </c>
      <c r="I74" s="349" t="b">
        <f t="shared" si="62"/>
        <v>1</v>
      </c>
      <c r="J74" s="349" t="b">
        <f t="shared" si="62"/>
        <v>1</v>
      </c>
      <c r="K74" s="349" t="b">
        <f t="shared" si="62"/>
        <v>1</v>
      </c>
      <c r="L74" s="349" t="b">
        <f t="shared" si="62"/>
        <v>1</v>
      </c>
      <c r="M74" s="349" t="b">
        <f t="shared" ref="M74:N74" si="63">M73=SUM(M69:M72)</f>
        <v>1</v>
      </c>
      <c r="N74" s="349" t="b">
        <f t="shared" si="63"/>
        <v>1</v>
      </c>
    </row>
    <row r="75" spans="1:16" x14ac:dyDescent="0.3">
      <c r="C75" s="43"/>
      <c r="F75" s="126"/>
      <c r="G75" s="43"/>
      <c r="H75" s="43"/>
      <c r="I75" s="43"/>
      <c r="J75" s="43"/>
      <c r="K75" s="43"/>
      <c r="L75" s="43"/>
      <c r="M75" s="43"/>
      <c r="N75" s="43"/>
    </row>
    <row r="76" spans="1:16" x14ac:dyDescent="0.3">
      <c r="A76" s="40" t="s">
        <v>65</v>
      </c>
      <c r="B76" s="18" t="str">
        <f>B58</f>
        <v>Duct Opening NRC</v>
      </c>
      <c r="C76" s="43"/>
      <c r="F76" s="297">
        <f>SUM(F58,F40,F22)</f>
        <v>4894.3163820739646</v>
      </c>
      <c r="G76" s="58">
        <f t="shared" ref="G76:L76" si="64">SUM(G58,G40,G22)</f>
        <v>5224.3218928439446</v>
      </c>
      <c r="H76" s="58">
        <f t="shared" si="64"/>
        <v>5280.4979336485867</v>
      </c>
      <c r="I76" s="58">
        <f t="shared" si="64"/>
        <v>5108.5363597852693</v>
      </c>
      <c r="J76" s="58">
        <f t="shared" si="64"/>
        <v>4928.6482924614829</v>
      </c>
      <c r="K76" s="58">
        <f t="shared" si="64"/>
        <v>4663.0986791023515</v>
      </c>
      <c r="L76" s="58">
        <f t="shared" si="64"/>
        <v>4388.352060793286</v>
      </c>
      <c r="M76" s="58">
        <f t="shared" ref="M76:N76" si="65">SUM(M58,M40,M22)</f>
        <v>4123.3316143286029</v>
      </c>
      <c r="N76" s="58">
        <f t="shared" si="65"/>
        <v>3878.6499819334945</v>
      </c>
    </row>
    <row r="77" spans="1:16" x14ac:dyDescent="0.3">
      <c r="A77" s="19" t="s">
        <v>60</v>
      </c>
      <c r="B77" s="18" t="str">
        <f t="shared" ref="B77:B81" si="66">B59</f>
        <v>Net Asset registrations</v>
      </c>
      <c r="C77" s="43"/>
      <c r="F77" s="266">
        <f t="shared" ref="F77:F81" si="67">SUM(F59,F41,F23)</f>
        <v>-8.505689137454555E-3</v>
      </c>
      <c r="G77" s="58">
        <f t="shared" ref="G77:L77" si="68">SUM(G59,G41,G23)</f>
        <v>0</v>
      </c>
      <c r="H77" s="58">
        <f t="shared" si="68"/>
        <v>0</v>
      </c>
      <c r="I77" s="58">
        <f t="shared" si="68"/>
        <v>0</v>
      </c>
      <c r="J77" s="58">
        <f t="shared" si="68"/>
        <v>0</v>
      </c>
      <c r="K77" s="58">
        <f t="shared" si="68"/>
        <v>0</v>
      </c>
      <c r="L77" s="58">
        <f t="shared" si="68"/>
        <v>0</v>
      </c>
      <c r="M77" s="58">
        <f t="shared" ref="M77:N77" si="69">SUM(M59,M41,M23)</f>
        <v>0</v>
      </c>
      <c r="N77" s="58">
        <f t="shared" si="69"/>
        <v>0</v>
      </c>
    </row>
    <row r="78" spans="1:16" x14ac:dyDescent="0.3">
      <c r="B78" s="18" t="str">
        <f t="shared" si="66"/>
        <v>OCM depreciation</v>
      </c>
      <c r="C78" s="43"/>
      <c r="F78" s="266">
        <f t="shared" si="67"/>
        <v>-304.94781793652629</v>
      </c>
      <c r="G78" s="58">
        <f>SUM(G60,G42,G24)</f>
        <v>-334.53868102664933</v>
      </c>
      <c r="H78" s="58">
        <f t="shared" ref="H78:L78" si="70">SUM(H60,H42,H24)</f>
        <v>-349.15926451120873</v>
      </c>
      <c r="I78" s="58">
        <f t="shared" si="70"/>
        <v>-357.73996809488131</v>
      </c>
      <c r="J78" s="58">
        <f t="shared" si="70"/>
        <v>-364.122579208361</v>
      </c>
      <c r="K78" s="58">
        <f t="shared" si="70"/>
        <v>-368.00859189111259</v>
      </c>
      <c r="L78" s="58">
        <f t="shared" si="70"/>
        <v>-352.78748768054902</v>
      </c>
      <c r="M78" s="58">
        <f t="shared" ref="M78:N78" si="71">SUM(M60,M42,M24)</f>
        <v>-327.14826468168087</v>
      </c>
      <c r="N78" s="58">
        <f t="shared" si="71"/>
        <v>-331.01197898603101</v>
      </c>
    </row>
    <row r="79" spans="1:16" x14ac:dyDescent="0.3">
      <c r="B79" s="18" t="str">
        <f t="shared" si="66"/>
        <v>Price movement</v>
      </c>
      <c r="C79" s="43"/>
      <c r="F79" s="266">
        <f t="shared" si="67"/>
        <v>645.32698816218544</v>
      </c>
      <c r="G79" s="58">
        <f t="shared" ref="G79:L79" si="72">SUM(G61,G43,G25)</f>
        <v>390.71472183129197</v>
      </c>
      <c r="H79" s="58">
        <f t="shared" si="72"/>
        <v>177.19769064789097</v>
      </c>
      <c r="I79" s="58">
        <f t="shared" si="72"/>
        <v>177.85190077109542</v>
      </c>
      <c r="J79" s="58">
        <f t="shared" si="72"/>
        <v>98.572965849229661</v>
      </c>
      <c r="K79" s="58">
        <f t="shared" si="72"/>
        <v>93.261973582047034</v>
      </c>
      <c r="L79" s="58">
        <f t="shared" si="72"/>
        <v>87.767041215865717</v>
      </c>
      <c r="M79" s="58">
        <f t="shared" ref="M79:N79" si="73">SUM(M61,M43,M25)</f>
        <v>82.466632286572064</v>
      </c>
      <c r="N79" s="58">
        <f t="shared" si="73"/>
        <v>77.572999638669884</v>
      </c>
    </row>
    <row r="80" spans="1:16" x14ac:dyDescent="0.3">
      <c r="B80" s="18" t="str">
        <f t="shared" si="66"/>
        <v>Other CCA adjustments</v>
      </c>
      <c r="C80" s="43"/>
      <c r="F80" s="266">
        <f t="shared" si="67"/>
        <v>-10.365153766541635</v>
      </c>
      <c r="G80" s="58">
        <f t="shared" ref="G80:L80" si="74">SUM(G62,G44,G26)</f>
        <v>0</v>
      </c>
      <c r="H80" s="58">
        <f t="shared" si="74"/>
        <v>0</v>
      </c>
      <c r="I80" s="58">
        <f t="shared" si="74"/>
        <v>0</v>
      </c>
      <c r="J80" s="58">
        <f t="shared" si="74"/>
        <v>0</v>
      </c>
      <c r="K80" s="58">
        <f t="shared" si="74"/>
        <v>0</v>
      </c>
      <c r="L80" s="58">
        <f t="shared" si="74"/>
        <v>0</v>
      </c>
      <c r="M80" s="58">
        <f t="shared" ref="M80:N80" si="75">SUM(M62,M44,M26)</f>
        <v>0</v>
      </c>
      <c r="N80" s="58">
        <f t="shared" si="75"/>
        <v>0</v>
      </c>
    </row>
    <row r="81" spans="1:17" x14ac:dyDescent="0.3">
      <c r="B81" s="18" t="str">
        <f t="shared" si="66"/>
        <v>Closing NRC</v>
      </c>
      <c r="C81" s="43"/>
      <c r="F81" s="297">
        <f t="shared" si="67"/>
        <v>5224.3218928439446</v>
      </c>
      <c r="G81" s="58">
        <f t="shared" ref="G81:L81" si="76">SUM(G63,G45,G27)</f>
        <v>5280.4979336485867</v>
      </c>
      <c r="H81" s="58">
        <f t="shared" si="76"/>
        <v>5108.5363597852693</v>
      </c>
      <c r="I81" s="58">
        <f t="shared" si="76"/>
        <v>4928.6482924614829</v>
      </c>
      <c r="J81" s="58">
        <f t="shared" si="76"/>
        <v>4663.0986791023515</v>
      </c>
      <c r="K81" s="58">
        <f t="shared" si="76"/>
        <v>4388.352060793286</v>
      </c>
      <c r="L81" s="58">
        <f t="shared" si="76"/>
        <v>4123.3316143286029</v>
      </c>
      <c r="M81" s="58">
        <f t="shared" ref="M81:N81" si="77">SUM(M63,M45,M27)</f>
        <v>3878.6499819334945</v>
      </c>
      <c r="N81" s="58">
        <f t="shared" si="77"/>
        <v>3625.2110025861334</v>
      </c>
    </row>
    <row r="82" spans="1:17" ht="14.5" x14ac:dyDescent="0.35">
      <c r="B82" s="29" t="s">
        <v>38</v>
      </c>
      <c r="F82" s="350" t="b">
        <f>IF(ABS(SUM(F76:F80)-F81)&lt;0.000001,TRUE,FALSE)</f>
        <v>1</v>
      </c>
      <c r="G82" s="350" t="b">
        <f>IF(ABS(SUM(G76:G80)-G81)&lt;0.000001,TRUE,FALSE)</f>
        <v>1</v>
      </c>
      <c r="H82" s="350" t="b">
        <f t="shared" ref="H82" si="78">IF(ABS(SUM(H76:H80)-H81)&lt;0.000001,TRUE,FALSE)</f>
        <v>1</v>
      </c>
      <c r="I82" s="350" t="b">
        <f t="shared" ref="I82" si="79">IF(ABS(SUM(I76:I80)-I81)&lt;0.000001,TRUE,FALSE)</f>
        <v>1</v>
      </c>
      <c r="J82" s="350" t="b">
        <f t="shared" ref="J82" si="80">IF(ABS(SUM(J76:J80)-J81)&lt;0.000001,TRUE,FALSE)</f>
        <v>1</v>
      </c>
      <c r="K82" s="350" t="b">
        <f t="shared" ref="K82" si="81">IF(ABS(SUM(K76:K80)-K81)&lt;0.000001,TRUE,FALSE)</f>
        <v>1</v>
      </c>
      <c r="L82" s="350" t="b">
        <f t="shared" ref="L82:N82" si="82">IF(ABS(SUM(L76:L80)-L81)&lt;0.000001,TRUE,FALSE)</f>
        <v>1</v>
      </c>
      <c r="M82" s="350" t="b">
        <f t="shared" si="82"/>
        <v>1</v>
      </c>
      <c r="N82" s="350" t="b">
        <f t="shared" si="82"/>
        <v>1</v>
      </c>
    </row>
    <row r="83" spans="1:17" s="38" customFormat="1" ht="6" customHeight="1" x14ac:dyDescent="0.3">
      <c r="A83" s="147"/>
      <c r="B83" s="147"/>
      <c r="C83" s="147"/>
      <c r="D83" s="147"/>
      <c r="E83" s="148"/>
      <c r="F83" s="148"/>
      <c r="G83" s="148"/>
      <c r="H83" s="148"/>
      <c r="I83" s="148"/>
      <c r="J83" s="148"/>
      <c r="K83" s="148"/>
      <c r="L83" s="148"/>
      <c r="M83" s="148"/>
      <c r="N83" s="148"/>
      <c r="O83" s="148"/>
      <c r="P83" s="148"/>
    </row>
    <row r="84" spans="1:17" s="38" customFormat="1" ht="6" customHeight="1" x14ac:dyDescent="0.3"/>
    <row r="85" spans="1:17" x14ac:dyDescent="0.3">
      <c r="A85" s="19" t="s">
        <v>64</v>
      </c>
      <c r="C85" s="21"/>
      <c r="F85" s="46"/>
      <c r="G85" s="43"/>
      <c r="H85" s="43"/>
      <c r="I85" s="43"/>
      <c r="J85" s="43"/>
      <c r="K85" s="43"/>
      <c r="L85" s="43"/>
      <c r="M85" s="43"/>
      <c r="N85" s="43"/>
    </row>
    <row r="86" spans="1:17" x14ac:dyDescent="0.3">
      <c r="C86" s="21"/>
      <c r="D86" s="252"/>
      <c r="E86" s="38"/>
      <c r="F86" s="39" t="s">
        <v>36</v>
      </c>
      <c r="G86" s="39" t="s">
        <v>37</v>
      </c>
      <c r="H86" s="39" t="s">
        <v>40</v>
      </c>
      <c r="I86" s="39" t="s">
        <v>39</v>
      </c>
      <c r="J86" s="39" t="s">
        <v>266</v>
      </c>
      <c r="K86" s="39" t="s">
        <v>267</v>
      </c>
      <c r="L86" s="39" t="s">
        <v>268</v>
      </c>
      <c r="M86" s="39" t="s">
        <v>269</v>
      </c>
      <c r="N86" s="39" t="s">
        <v>270</v>
      </c>
    </row>
    <row r="87" spans="1:17" s="38" customFormat="1" ht="6" customHeight="1" x14ac:dyDescent="0.3">
      <c r="C87" s="21"/>
      <c r="D87" s="37"/>
      <c r="F87" s="21"/>
      <c r="G87" s="21"/>
      <c r="H87" s="21"/>
      <c r="I87" s="21"/>
      <c r="J87" s="21"/>
      <c r="K87" s="21"/>
      <c r="L87" s="21"/>
      <c r="M87" s="21"/>
      <c r="N87" s="21"/>
      <c r="O87" s="21"/>
    </row>
    <row r="88" spans="1:17" x14ac:dyDescent="0.3">
      <c r="A88" s="19" t="str">
        <f>'Input data'!A58</f>
        <v>Post 2018/19 assets</v>
      </c>
      <c r="B88" s="38" t="str">
        <f>'Input data'!B58</f>
        <v>Opening GRC</v>
      </c>
      <c r="D88" s="253"/>
      <c r="E88" s="38"/>
      <c r="F88" s="59">
        <f>'Input data'!E58</f>
        <v>1477.3126413055174</v>
      </c>
      <c r="G88" s="59">
        <f>F92</f>
        <v>2148.6114433023704</v>
      </c>
      <c r="H88" s="59">
        <f t="shared" ref="H88:L88" si="83">G92</f>
        <v>2813.5064556318471</v>
      </c>
      <c r="I88" s="59">
        <f t="shared" si="83"/>
        <v>3416.2559052340339</v>
      </c>
      <c r="J88" s="59">
        <f t="shared" si="83"/>
        <v>4057.2312995812617</v>
      </c>
      <c r="K88" s="59">
        <f t="shared" si="83"/>
        <v>4630.5515519378323</v>
      </c>
      <c r="L88" s="59">
        <f t="shared" si="83"/>
        <v>5038.9884113255675</v>
      </c>
      <c r="M88" s="59">
        <f t="shared" ref="M88" si="84">L92</f>
        <v>5376.6347793250379</v>
      </c>
      <c r="N88" s="59">
        <f t="shared" ref="N88" si="85">M92</f>
        <v>5721.5889162411468</v>
      </c>
      <c r="Q88" s="38"/>
    </row>
    <row r="89" spans="1:17" x14ac:dyDescent="0.3">
      <c r="A89" s="40" t="str">
        <f>'Input data'!A59</f>
        <v>GRC</v>
      </c>
      <c r="B89" s="38" t="str">
        <f>'Input data'!B59</f>
        <v>Net asset registrations</v>
      </c>
      <c r="D89" s="253"/>
      <c r="E89" s="38"/>
      <c r="F89" s="59">
        <f>'Input data'!E59</f>
        <v>409.06507786689355</v>
      </c>
      <c r="G89" s="279">
        <f>G9</f>
        <v>486.03087445349007</v>
      </c>
      <c r="H89" s="279">
        <f t="shared" ref="H89:L89" si="86">H9</f>
        <v>499.94821979814554</v>
      </c>
      <c r="I89" s="279">
        <f t="shared" si="86"/>
        <v>513.10780960651448</v>
      </c>
      <c r="J89" s="279">
        <f t="shared" si="86"/>
        <v>487.30260036133228</v>
      </c>
      <c r="K89" s="279">
        <f t="shared" si="86"/>
        <v>312.69883994948373</v>
      </c>
      <c r="L89" s="279">
        <f t="shared" si="86"/>
        <v>234.52138591382158</v>
      </c>
      <c r="M89" s="279">
        <f t="shared" ref="M89:N89" si="87">M9</f>
        <v>235.07073398971093</v>
      </c>
      <c r="N89" s="279">
        <f t="shared" si="87"/>
        <v>235.17112884041649</v>
      </c>
    </row>
    <row r="90" spans="1:17" x14ac:dyDescent="0.3">
      <c r="B90" s="38" t="str">
        <f>'Input data'!B60</f>
        <v>Price movement</v>
      </c>
      <c r="D90" s="253"/>
      <c r="E90" s="38"/>
      <c r="F90" s="59">
        <f>'Input data'!E60</f>
        <v>262.23372412995963</v>
      </c>
      <c r="G90" s="59">
        <f>(G88+0.5*G89)*G$7</f>
        <v>178.86413787598647</v>
      </c>
      <c r="H90" s="59">
        <f t="shared" ref="H90:N90" si="88">(H88+0.5*H89)*H$7</f>
        <v>102.80122980404136</v>
      </c>
      <c r="I90" s="59">
        <f t="shared" si="88"/>
        <v>127.86758474071334</v>
      </c>
      <c r="J90" s="59">
        <f t="shared" si="88"/>
        <v>86.017651995238552</v>
      </c>
      <c r="K90" s="59">
        <f t="shared" si="88"/>
        <v>95.738019438251484</v>
      </c>
      <c r="L90" s="59">
        <f t="shared" si="88"/>
        <v>103.12498208564958</v>
      </c>
      <c r="M90" s="59">
        <f t="shared" si="88"/>
        <v>109.88340292639786</v>
      </c>
      <c r="N90" s="59">
        <f t="shared" si="88"/>
        <v>116.7834896132271</v>
      </c>
    </row>
    <row r="91" spans="1:17" x14ac:dyDescent="0.3">
      <c r="B91" s="38" t="str">
        <f>'Input data'!B61</f>
        <v>Write outs and Other adjs</v>
      </c>
      <c r="D91" s="253"/>
      <c r="E91" s="38"/>
      <c r="F91" s="59">
        <f>'Input data'!E61</f>
        <v>0</v>
      </c>
      <c r="G91" s="345"/>
      <c r="H91" s="345"/>
      <c r="I91" s="345"/>
      <c r="J91" s="345"/>
      <c r="K91" s="345"/>
      <c r="L91" s="345"/>
      <c r="M91" s="345"/>
      <c r="N91" s="345"/>
      <c r="P91" s="20" t="s">
        <v>58</v>
      </c>
    </row>
    <row r="92" spans="1:17" x14ac:dyDescent="0.3">
      <c r="B92" s="38" t="str">
        <f>'Input data'!B62</f>
        <v>Closing GRC</v>
      </c>
      <c r="D92" s="253"/>
      <c r="E92" s="38"/>
      <c r="F92" s="59">
        <f>'Input data'!E62</f>
        <v>2148.6114433023704</v>
      </c>
      <c r="G92" s="59">
        <f>SUM(G88:G91)</f>
        <v>2813.5064556318471</v>
      </c>
      <c r="H92" s="59">
        <f t="shared" ref="H92:L92" si="89">SUM(H88:H91)</f>
        <v>3416.2559052340339</v>
      </c>
      <c r="I92" s="59">
        <f t="shared" si="89"/>
        <v>4057.2312995812617</v>
      </c>
      <c r="J92" s="59">
        <f t="shared" si="89"/>
        <v>4630.5515519378323</v>
      </c>
      <c r="K92" s="59">
        <f t="shared" si="89"/>
        <v>5038.9884113255675</v>
      </c>
      <c r="L92" s="59">
        <f t="shared" si="89"/>
        <v>5376.6347793250379</v>
      </c>
      <c r="M92" s="59">
        <f t="shared" ref="M92:N92" si="90">SUM(M88:M91)</f>
        <v>5721.5889162411468</v>
      </c>
      <c r="N92" s="59">
        <f t="shared" si="90"/>
        <v>6073.5435346947907</v>
      </c>
    </row>
    <row r="93" spans="1:17" x14ac:dyDescent="0.3">
      <c r="B93" s="29" t="s">
        <v>38</v>
      </c>
      <c r="D93" s="253"/>
      <c r="E93" s="38"/>
    </row>
    <row r="94" spans="1:17" x14ac:dyDescent="0.3">
      <c r="C94" s="21"/>
      <c r="D94" s="254"/>
      <c r="E94" s="38"/>
    </row>
    <row r="95" spans="1:17" x14ac:dyDescent="0.3">
      <c r="A95" s="40" t="str">
        <f>'Input data'!A64</f>
        <v>Post 2018/19 assets</v>
      </c>
      <c r="B95" s="38" t="str">
        <f>'Input data'!B64</f>
        <v>Duct Opening NRC</v>
      </c>
      <c r="D95" s="253"/>
      <c r="E95" s="38"/>
      <c r="F95" s="59">
        <f>'Input data'!E64</f>
        <v>1828.6427726785316</v>
      </c>
      <c r="G95" s="59">
        <f>F100</f>
        <v>2572.7286535218809</v>
      </c>
      <c r="H95" s="59">
        <f t="shared" ref="H95:L95" si="91">G100</f>
        <v>3207.315918719516</v>
      </c>
      <c r="I95" s="59">
        <f t="shared" si="91"/>
        <v>3745.4084045662794</v>
      </c>
      <c r="J95" s="59">
        <f t="shared" si="91"/>
        <v>4304.4245376173494</v>
      </c>
      <c r="K95" s="59">
        <f t="shared" si="91"/>
        <v>4774.0913690906536</v>
      </c>
      <c r="L95" s="59">
        <f t="shared" si="91"/>
        <v>5064.5297752806537</v>
      </c>
      <c r="M95" s="59">
        <f t="shared" ref="M95" si="92">L100</f>
        <v>5272.4916806760939</v>
      </c>
      <c r="N95" s="59">
        <f t="shared" ref="N95" si="93">M100</f>
        <v>5476.6351594246462</v>
      </c>
    </row>
    <row r="96" spans="1:17" x14ac:dyDescent="0.3">
      <c r="A96" s="40" t="str">
        <f>'Input data'!A65</f>
        <v>NRC</v>
      </c>
      <c r="B96" s="38" t="str">
        <f>'Input data'!B65</f>
        <v>Net Asset registrations</v>
      </c>
      <c r="D96" s="255"/>
      <c r="E96" s="38"/>
      <c r="F96" s="59">
        <f>'Input data'!E65</f>
        <v>516.95037312849183</v>
      </c>
      <c r="G96" s="59">
        <f>G89</f>
        <v>486.03087445349007</v>
      </c>
      <c r="H96" s="59">
        <f t="shared" ref="H96:L96" si="94">H89</f>
        <v>499.94821979814554</v>
      </c>
      <c r="I96" s="59">
        <f t="shared" si="94"/>
        <v>513.10780960651448</v>
      </c>
      <c r="J96" s="59">
        <f t="shared" si="94"/>
        <v>487.30260036133228</v>
      </c>
      <c r="K96" s="59">
        <f t="shared" si="94"/>
        <v>312.69883994948373</v>
      </c>
      <c r="L96" s="59">
        <f t="shared" si="94"/>
        <v>234.52138591382158</v>
      </c>
      <c r="M96" s="59">
        <f t="shared" ref="M96:N96" si="95">M89</f>
        <v>235.07073398971093</v>
      </c>
      <c r="N96" s="59">
        <f t="shared" si="95"/>
        <v>235.17112884041649</v>
      </c>
    </row>
    <row r="97" spans="1:16" x14ac:dyDescent="0.3">
      <c r="B97" s="38" t="str">
        <f>'Input data'!B66</f>
        <v>OCM depreciation</v>
      </c>
      <c r="D97" s="253"/>
      <c r="E97" s="38"/>
      <c r="F97" s="59">
        <f>'Input data'!E66</f>
        <v>-53.553597043285116</v>
      </c>
      <c r="G97" s="301">
        <f t="shared" ref="G97:L97" si="96">-AVERAGE(G88,G92)/duct_asset_life</f>
        <v>-62.026473736677715</v>
      </c>
      <c r="H97" s="301">
        <f t="shared" si="96"/>
        <v>-77.872029510823523</v>
      </c>
      <c r="I97" s="301">
        <f t="shared" si="96"/>
        <v>-93.418590060191192</v>
      </c>
      <c r="J97" s="301">
        <f t="shared" si="96"/>
        <v>-108.59728564398867</v>
      </c>
      <c r="K97" s="301">
        <f t="shared" si="96"/>
        <v>-120.8692495407925</v>
      </c>
      <c r="L97" s="301">
        <f t="shared" si="96"/>
        <v>-130.19528988313257</v>
      </c>
      <c r="M97" s="301">
        <f t="shared" ref="M97:N97" si="97">-AVERAGE(M88,M92)/duct_asset_life</f>
        <v>-138.72779619457731</v>
      </c>
      <c r="N97" s="301">
        <f t="shared" si="97"/>
        <v>-147.43915563669921</v>
      </c>
      <c r="P97" s="251"/>
    </row>
    <row r="98" spans="1:16" x14ac:dyDescent="0.3">
      <c r="B98" s="38" t="str">
        <f>'Input data'!B67</f>
        <v>Price movement</v>
      </c>
      <c r="D98" s="253"/>
      <c r="E98" s="38"/>
      <c r="F98" s="59">
        <f>'Input data'!E67</f>
        <v>280.68910475814243</v>
      </c>
      <c r="G98" s="59">
        <f>(G95+0.5*G96)*G$7</f>
        <v>210.58286448082308</v>
      </c>
      <c r="H98" s="59">
        <f t="shared" ref="H98:N98" si="98">(H95+0.5*H96)*H$7</f>
        <v>116.01629555944153</v>
      </c>
      <c r="I98" s="59">
        <f t="shared" si="98"/>
        <v>139.3269135047465</v>
      </c>
      <c r="J98" s="59">
        <f t="shared" si="98"/>
        <v>90.961516755960318</v>
      </c>
      <c r="K98" s="59">
        <f t="shared" si="98"/>
        <v>98.608815781307911</v>
      </c>
      <c r="L98" s="59">
        <f t="shared" si="98"/>
        <v>103.6358093647513</v>
      </c>
      <c r="M98" s="59">
        <f t="shared" si="98"/>
        <v>107.80054095341899</v>
      </c>
      <c r="N98" s="59">
        <f t="shared" si="98"/>
        <v>111.88441447689709</v>
      </c>
    </row>
    <row r="99" spans="1:16" x14ac:dyDescent="0.3">
      <c r="B99" s="38" t="str">
        <f>'Input data'!B68</f>
        <v>Other CCA adjustments</v>
      </c>
      <c r="D99" s="253"/>
      <c r="E99" s="38"/>
      <c r="F99" s="59">
        <f>'Input data'!E68</f>
        <v>0</v>
      </c>
      <c r="G99" s="345"/>
      <c r="H99" s="345"/>
      <c r="I99" s="345"/>
      <c r="J99" s="345"/>
      <c r="K99" s="345"/>
      <c r="L99" s="345"/>
      <c r="M99" s="345"/>
      <c r="N99" s="345"/>
      <c r="P99" s="20" t="s">
        <v>161</v>
      </c>
    </row>
    <row r="100" spans="1:16" x14ac:dyDescent="0.3">
      <c r="B100" s="38" t="str">
        <f>'Input data'!B69</f>
        <v>Closing NRC</v>
      </c>
      <c r="D100" s="253"/>
      <c r="F100" s="59">
        <f>'Input data'!E69</f>
        <v>2572.7286535218809</v>
      </c>
      <c r="G100" s="59">
        <f>SUM(G95:G99)</f>
        <v>3207.315918719516</v>
      </c>
      <c r="H100" s="59">
        <f t="shared" ref="H100:L100" si="99">SUM(H95:H99)</f>
        <v>3745.4084045662794</v>
      </c>
      <c r="I100" s="59">
        <f t="shared" si="99"/>
        <v>4304.4245376173494</v>
      </c>
      <c r="J100" s="59">
        <f t="shared" si="99"/>
        <v>4774.0913690906536</v>
      </c>
      <c r="K100" s="59">
        <f t="shared" si="99"/>
        <v>5064.5297752806537</v>
      </c>
      <c r="L100" s="59">
        <f t="shared" si="99"/>
        <v>5272.4916806760939</v>
      </c>
      <c r="M100" s="59">
        <f t="shared" ref="M100:N100" si="100">SUM(M95:M99)</f>
        <v>5476.6351594246462</v>
      </c>
      <c r="N100" s="59">
        <f t="shared" si="100"/>
        <v>5676.2515471052611</v>
      </c>
    </row>
    <row r="101" spans="1:16" x14ac:dyDescent="0.3">
      <c r="F101" s="128"/>
      <c r="G101" s="128"/>
      <c r="H101" s="128"/>
      <c r="I101" s="128"/>
      <c r="J101" s="128"/>
      <c r="K101" s="128"/>
      <c r="L101" s="128"/>
      <c r="M101" s="128"/>
      <c r="N101" s="128"/>
    </row>
    <row r="102" spans="1:16" s="38" customFormat="1" ht="6" customHeight="1" thickBot="1" x14ac:dyDescent="0.35">
      <c r="A102" s="27"/>
      <c r="B102" s="27"/>
      <c r="C102" s="27"/>
      <c r="D102" s="27"/>
      <c r="E102" s="28"/>
      <c r="F102" s="28"/>
      <c r="G102" s="28"/>
      <c r="H102" s="28"/>
      <c r="I102" s="28"/>
      <c r="J102" s="28"/>
      <c r="K102" s="28"/>
      <c r="L102" s="28"/>
      <c r="M102" s="28"/>
      <c r="N102" s="28"/>
      <c r="O102" s="28"/>
      <c r="P102" s="28"/>
    </row>
    <row r="103" spans="1:16" ht="9" customHeight="1" thickTop="1" x14ac:dyDescent="0.3">
      <c r="A103" s="38"/>
    </row>
    <row r="104" spans="1:16" x14ac:dyDescent="0.3">
      <c r="A104" s="271" t="s">
        <v>62</v>
      </c>
      <c r="B104" s="272"/>
      <c r="C104" s="272"/>
      <c r="D104" s="39"/>
      <c r="E104" s="39"/>
      <c r="F104" s="39" t="s">
        <v>36</v>
      </c>
      <c r="G104" s="39" t="s">
        <v>37</v>
      </c>
      <c r="H104" s="39" t="s">
        <v>40</v>
      </c>
      <c r="I104" s="39" t="s">
        <v>39</v>
      </c>
      <c r="J104" s="39" t="s">
        <v>266</v>
      </c>
      <c r="K104" s="39" t="s">
        <v>267</v>
      </c>
      <c r="L104" s="39" t="s">
        <v>268</v>
      </c>
      <c r="M104" s="39" t="s">
        <v>269</v>
      </c>
      <c r="N104" s="39" t="s">
        <v>270</v>
      </c>
    </row>
    <row r="105" spans="1:16" x14ac:dyDescent="0.3">
      <c r="A105" s="295" t="s">
        <v>69</v>
      </c>
      <c r="B105" s="295" t="s">
        <v>57</v>
      </c>
      <c r="C105" s="251"/>
      <c r="D105" s="251"/>
      <c r="E105" s="251"/>
      <c r="F105" s="296">
        <f t="shared" ref="F105:N105" si="101">(F69+F73)/2</f>
        <v>13701.949434008131</v>
      </c>
      <c r="G105" s="296">
        <f t="shared" si="101"/>
        <v>14956.783328485148</v>
      </c>
      <c r="H105" s="296">
        <f t="shared" si="101"/>
        <v>15604.327678006317</v>
      </c>
      <c r="I105" s="296">
        <f t="shared" si="101"/>
        <v>15981.428662045317</v>
      </c>
      <c r="J105" s="296">
        <f t="shared" si="101"/>
        <v>16260.086919846352</v>
      </c>
      <c r="K105" s="296">
        <f t="shared" si="101"/>
        <v>16427.046523754154</v>
      </c>
      <c r="L105" s="296">
        <f t="shared" si="101"/>
        <v>16607.169334525228</v>
      </c>
      <c r="M105" s="296">
        <f t="shared" si="101"/>
        <v>16815.564363518079</v>
      </c>
      <c r="N105" s="296">
        <f t="shared" si="101"/>
        <v>17043.339437807714</v>
      </c>
    </row>
    <row r="106" spans="1:16" x14ac:dyDescent="0.3">
      <c r="A106" s="251"/>
      <c r="B106" s="251"/>
      <c r="C106" s="251"/>
      <c r="D106" s="251"/>
      <c r="E106" s="251"/>
      <c r="F106" s="270"/>
      <c r="G106" s="270"/>
      <c r="H106" s="270"/>
      <c r="I106" s="270"/>
      <c r="J106" s="270"/>
      <c r="K106" s="270"/>
      <c r="L106" s="270"/>
      <c r="M106" s="270"/>
      <c r="N106" s="270"/>
    </row>
    <row r="107" spans="1:16" x14ac:dyDescent="0.3">
      <c r="A107" s="251"/>
      <c r="B107" s="295" t="s">
        <v>42</v>
      </c>
      <c r="C107" s="251"/>
      <c r="D107" s="251"/>
      <c r="E107" s="251"/>
      <c r="F107" s="296">
        <f t="shared" ref="F107:N107" si="102">(F76+F81)/2</f>
        <v>5059.3191374589551</v>
      </c>
      <c r="G107" s="296">
        <f t="shared" si="102"/>
        <v>5252.4099132462652</v>
      </c>
      <c r="H107" s="296">
        <f t="shared" si="102"/>
        <v>5194.5171467169275</v>
      </c>
      <c r="I107" s="296">
        <f t="shared" si="102"/>
        <v>5018.5923261233766</v>
      </c>
      <c r="J107" s="296">
        <f t="shared" si="102"/>
        <v>4795.8734857819172</v>
      </c>
      <c r="K107" s="296">
        <f t="shared" si="102"/>
        <v>4525.7253699478188</v>
      </c>
      <c r="L107" s="296">
        <f t="shared" si="102"/>
        <v>4255.8418375609444</v>
      </c>
      <c r="M107" s="296">
        <f t="shared" si="102"/>
        <v>4000.9907981310489</v>
      </c>
      <c r="N107" s="296">
        <f t="shared" si="102"/>
        <v>3751.9304922598139</v>
      </c>
    </row>
    <row r="108" spans="1:16" s="38" customFormat="1" x14ac:dyDescent="0.3">
      <c r="A108" s="251"/>
      <c r="B108" s="251"/>
      <c r="C108" s="251"/>
      <c r="D108" s="251"/>
      <c r="E108" s="251"/>
      <c r="F108" s="270"/>
      <c r="G108" s="270"/>
      <c r="H108" s="270"/>
      <c r="I108" s="270"/>
      <c r="J108" s="270"/>
      <c r="K108" s="270"/>
      <c r="L108" s="270"/>
      <c r="M108" s="270"/>
      <c r="N108" s="270"/>
    </row>
    <row r="109" spans="1:16" x14ac:dyDescent="0.3">
      <c r="A109" s="251"/>
      <c r="B109" s="295" t="s">
        <v>56</v>
      </c>
      <c r="C109" s="251"/>
      <c r="D109" s="251"/>
      <c r="E109" s="251"/>
      <c r="F109" s="296">
        <f t="shared" ref="F109:N109" si="103">F78</f>
        <v>-304.94781793652629</v>
      </c>
      <c r="G109" s="296">
        <f t="shared" si="103"/>
        <v>-334.53868102664933</v>
      </c>
      <c r="H109" s="296">
        <f t="shared" si="103"/>
        <v>-349.15926451120873</v>
      </c>
      <c r="I109" s="296">
        <f t="shared" si="103"/>
        <v>-357.73996809488131</v>
      </c>
      <c r="J109" s="296">
        <f t="shared" si="103"/>
        <v>-364.122579208361</v>
      </c>
      <c r="K109" s="296">
        <f t="shared" si="103"/>
        <v>-368.00859189111259</v>
      </c>
      <c r="L109" s="296">
        <f t="shared" si="103"/>
        <v>-352.78748768054902</v>
      </c>
      <c r="M109" s="296">
        <f t="shared" si="103"/>
        <v>-327.14826468168087</v>
      </c>
      <c r="N109" s="296">
        <f t="shared" si="103"/>
        <v>-331.01197898603101</v>
      </c>
    </row>
    <row r="110" spans="1:16" x14ac:dyDescent="0.3">
      <c r="A110" s="251"/>
      <c r="B110" s="251"/>
      <c r="C110" s="251"/>
      <c r="D110" s="251"/>
      <c r="E110" s="251"/>
      <c r="F110" s="270"/>
      <c r="G110" s="270"/>
      <c r="H110" s="270"/>
      <c r="I110" s="270"/>
      <c r="J110" s="270"/>
      <c r="K110" s="270"/>
      <c r="L110" s="270"/>
      <c r="M110" s="270"/>
      <c r="N110" s="270"/>
    </row>
    <row r="111" spans="1:16" x14ac:dyDescent="0.3">
      <c r="A111" s="295" t="s">
        <v>63</v>
      </c>
      <c r="B111" s="295" t="s">
        <v>57</v>
      </c>
      <c r="C111" s="251"/>
      <c r="D111" s="251"/>
      <c r="E111" s="251"/>
      <c r="F111" s="296">
        <f>(F88+F92)/2</f>
        <v>1812.9620423039439</v>
      </c>
      <c r="G111" s="296">
        <f t="shared" ref="G111:N111" si="104">(G88+G92)/2</f>
        <v>2481.0589494671085</v>
      </c>
      <c r="H111" s="296">
        <f t="shared" si="104"/>
        <v>3114.8811804329407</v>
      </c>
      <c r="I111" s="296">
        <f t="shared" si="104"/>
        <v>3736.7436024076478</v>
      </c>
      <c r="J111" s="296">
        <f t="shared" si="104"/>
        <v>4343.891425759547</v>
      </c>
      <c r="K111" s="296">
        <f t="shared" si="104"/>
        <v>4834.7699816316999</v>
      </c>
      <c r="L111" s="296">
        <f t="shared" si="104"/>
        <v>5207.8115953253027</v>
      </c>
      <c r="M111" s="296">
        <f t="shared" si="104"/>
        <v>5549.1118477830923</v>
      </c>
      <c r="N111" s="296">
        <f t="shared" si="104"/>
        <v>5897.5662254679683</v>
      </c>
    </row>
    <row r="112" spans="1:16" x14ac:dyDescent="0.3">
      <c r="A112" s="251"/>
      <c r="B112" s="251"/>
      <c r="C112" s="251"/>
      <c r="D112" s="251"/>
      <c r="E112" s="251"/>
      <c r="F112" s="270"/>
      <c r="G112" s="270"/>
      <c r="H112" s="270"/>
      <c r="I112" s="270"/>
      <c r="J112" s="270"/>
      <c r="K112" s="270"/>
      <c r="L112" s="270"/>
      <c r="M112" s="270"/>
      <c r="N112" s="270"/>
    </row>
    <row r="113" spans="1:17" x14ac:dyDescent="0.3">
      <c r="A113" s="251"/>
      <c r="B113" s="295" t="s">
        <v>42</v>
      </c>
      <c r="C113" s="251"/>
      <c r="D113" s="251"/>
      <c r="E113" s="251"/>
      <c r="F113" s="296">
        <f>SUM(F95+F100)/2</f>
        <v>2200.6857131002062</v>
      </c>
      <c r="G113" s="296">
        <f t="shared" ref="G113:N113" si="105">SUM(G95+G100)/2</f>
        <v>2890.0222861206985</v>
      </c>
      <c r="H113" s="296">
        <f t="shared" si="105"/>
        <v>3476.3621616428977</v>
      </c>
      <c r="I113" s="296">
        <f t="shared" si="105"/>
        <v>4024.9164710918144</v>
      </c>
      <c r="J113" s="296">
        <f t="shared" si="105"/>
        <v>4539.2579533540011</v>
      </c>
      <c r="K113" s="296">
        <f t="shared" si="105"/>
        <v>4919.3105721856537</v>
      </c>
      <c r="L113" s="296">
        <f t="shared" si="105"/>
        <v>5168.5107279783733</v>
      </c>
      <c r="M113" s="296">
        <f t="shared" si="105"/>
        <v>5374.56342005037</v>
      </c>
      <c r="N113" s="296">
        <f t="shared" si="105"/>
        <v>5576.4433532649537</v>
      </c>
    </row>
    <row r="114" spans="1:17" x14ac:dyDescent="0.3">
      <c r="A114" s="251"/>
      <c r="B114" s="295" t="s">
        <v>56</v>
      </c>
      <c r="C114" s="251"/>
      <c r="D114" s="251"/>
      <c r="E114" s="251"/>
      <c r="F114" s="296">
        <f>F97</f>
        <v>-53.553597043285116</v>
      </c>
      <c r="G114" s="296">
        <f t="shared" ref="G114:N114" si="106">G97</f>
        <v>-62.026473736677715</v>
      </c>
      <c r="H114" s="296">
        <f t="shared" si="106"/>
        <v>-77.872029510823523</v>
      </c>
      <c r="I114" s="296">
        <f t="shared" si="106"/>
        <v>-93.418590060191192</v>
      </c>
      <c r="J114" s="296">
        <f t="shared" si="106"/>
        <v>-108.59728564398867</v>
      </c>
      <c r="K114" s="296">
        <f t="shared" si="106"/>
        <v>-120.8692495407925</v>
      </c>
      <c r="L114" s="296">
        <f t="shared" si="106"/>
        <v>-130.19528988313257</v>
      </c>
      <c r="M114" s="296">
        <f t="shared" si="106"/>
        <v>-138.72779619457731</v>
      </c>
      <c r="N114" s="296">
        <f t="shared" si="106"/>
        <v>-147.43915563669921</v>
      </c>
      <c r="Q114" s="38"/>
    </row>
    <row r="115" spans="1:17" s="38" customFormat="1" ht="6" customHeight="1" thickBot="1" x14ac:dyDescent="0.35">
      <c r="A115" s="27"/>
      <c r="B115" s="27"/>
      <c r="C115" s="27"/>
      <c r="D115" s="27"/>
      <c r="E115" s="27"/>
      <c r="F115" s="27"/>
      <c r="G115" s="28"/>
      <c r="H115" s="28"/>
      <c r="I115" s="28"/>
      <c r="J115" s="28"/>
      <c r="K115" s="28"/>
      <c r="L115" s="28"/>
      <c r="M115" s="28"/>
      <c r="N115" s="28"/>
      <c r="O115" s="28"/>
      <c r="P115" s="28"/>
    </row>
    <row r="116" spans="1:17" ht="7.15" customHeight="1" thickTop="1" x14ac:dyDescent="0.3">
      <c r="Q116" s="38"/>
    </row>
    <row r="117" spans="1:17" x14ac:dyDescent="0.3">
      <c r="A117" s="40" t="s">
        <v>76</v>
      </c>
      <c r="B117" s="18" t="s">
        <v>49</v>
      </c>
      <c r="F117" s="43">
        <f>F88+F69</f>
        <v>14390.933293071379</v>
      </c>
      <c r="G117" s="43">
        <f t="shared" ref="G117:N117" si="107">G88+G69</f>
        <v>16638.889659552769</v>
      </c>
      <c r="H117" s="43">
        <f t="shared" si="107"/>
        <v>18236.794896351741</v>
      </c>
      <c r="I117" s="43">
        <f t="shared" si="107"/>
        <v>19201.622820526776</v>
      </c>
      <c r="J117" s="43">
        <f t="shared" si="107"/>
        <v>20234.721708379155</v>
      </c>
      <c r="K117" s="43">
        <f t="shared" si="107"/>
        <v>20973.234982832641</v>
      </c>
      <c r="L117" s="43">
        <f t="shared" si="107"/>
        <v>21550.398027939067</v>
      </c>
      <c r="M117" s="43">
        <f t="shared" si="107"/>
        <v>22079.563831762</v>
      </c>
      <c r="N117" s="43">
        <f t="shared" si="107"/>
        <v>22649.788590840344</v>
      </c>
      <c r="Q117" s="38"/>
    </row>
    <row r="118" spans="1:17" x14ac:dyDescent="0.3">
      <c r="B118" s="38" t="s">
        <v>321</v>
      </c>
      <c r="F118" s="43">
        <f t="shared" ref="F118:N118" si="108">F89+F70</f>
        <v>409.05569484385165</v>
      </c>
      <c r="G118" s="43">
        <f t="shared" si="108"/>
        <v>486.03087445349007</v>
      </c>
      <c r="H118" s="43">
        <f t="shared" si="108"/>
        <v>499.94821979814554</v>
      </c>
      <c r="I118" s="43">
        <f t="shared" si="108"/>
        <v>513.10780960651448</v>
      </c>
      <c r="J118" s="43">
        <f t="shared" si="108"/>
        <v>487.30260036133228</v>
      </c>
      <c r="K118" s="43">
        <f t="shared" si="108"/>
        <v>312.69883994948373</v>
      </c>
      <c r="L118" s="43">
        <f t="shared" si="108"/>
        <v>234.52138591382158</v>
      </c>
      <c r="M118" s="43">
        <f t="shared" si="108"/>
        <v>235.07073398971093</v>
      </c>
      <c r="N118" s="43">
        <f t="shared" si="108"/>
        <v>235.17112884041649</v>
      </c>
      <c r="Q118" s="38"/>
    </row>
    <row r="119" spans="1:17" x14ac:dyDescent="0.3">
      <c r="B119" s="38" t="s">
        <v>48</v>
      </c>
      <c r="F119" s="43">
        <f t="shared" ref="F119:N119" si="109">F90+F71</f>
        <v>1850.057027005739</v>
      </c>
      <c r="G119" s="43">
        <f t="shared" si="109"/>
        <v>1262.5578953902921</v>
      </c>
      <c r="H119" s="43">
        <f t="shared" si="109"/>
        <v>620.36058277277095</v>
      </c>
      <c r="I119" s="43">
        <f t="shared" si="109"/>
        <v>677.42959478227158</v>
      </c>
      <c r="J119" s="43">
        <f t="shared" si="109"/>
        <v>409.56746017119644</v>
      </c>
      <c r="K119" s="43">
        <f t="shared" si="109"/>
        <v>422.59168805614763</v>
      </c>
      <c r="L119" s="43">
        <f t="shared" si="109"/>
        <v>433.35317441791949</v>
      </c>
      <c r="M119" s="43">
        <f t="shared" si="109"/>
        <v>443.94198397513708</v>
      </c>
      <c r="N119" s="43">
        <f t="shared" si="109"/>
        <v>455.34748310521098</v>
      </c>
      <c r="Q119" s="38"/>
    </row>
    <row r="120" spans="1:17" x14ac:dyDescent="0.3">
      <c r="B120" s="38" t="s">
        <v>50</v>
      </c>
      <c r="F120" s="43">
        <f t="shared" ref="F120:N120" si="110">F91+F72</f>
        <v>-11.156355368200225</v>
      </c>
      <c r="G120" s="43">
        <f t="shared" si="110"/>
        <v>-150.68353304480831</v>
      </c>
      <c r="H120" s="43">
        <f t="shared" si="110"/>
        <v>-155.48087839588345</v>
      </c>
      <c r="I120" s="43">
        <f t="shared" si="110"/>
        <v>-157.43851653640604</v>
      </c>
      <c r="J120" s="43">
        <f t="shared" si="110"/>
        <v>-158.35678607904327</v>
      </c>
      <c r="K120" s="43">
        <f t="shared" si="110"/>
        <v>-158.12748289920856</v>
      </c>
      <c r="L120" s="43">
        <f t="shared" si="110"/>
        <v>-138.70875650880683</v>
      </c>
      <c r="M120" s="43">
        <f t="shared" si="110"/>
        <v>-108.78795888650382</v>
      </c>
      <c r="N120" s="43">
        <f t="shared" si="110"/>
        <v>-108.28446707495047</v>
      </c>
      <c r="Q120" s="38"/>
    </row>
    <row r="121" spans="1:17" x14ac:dyDescent="0.3">
      <c r="B121" s="38" t="s">
        <v>51</v>
      </c>
      <c r="F121" s="43">
        <f t="shared" ref="F121:N121" si="111">F92+F73</f>
        <v>16638.889659552769</v>
      </c>
      <c r="G121" s="43">
        <f t="shared" si="111"/>
        <v>18236.794896351741</v>
      </c>
      <c r="H121" s="43">
        <f t="shared" si="111"/>
        <v>19201.622820526776</v>
      </c>
      <c r="I121" s="43">
        <f t="shared" si="111"/>
        <v>20234.721708379155</v>
      </c>
      <c r="J121" s="43">
        <f t="shared" si="111"/>
        <v>20973.234982832641</v>
      </c>
      <c r="K121" s="43">
        <f t="shared" si="111"/>
        <v>21550.398027939067</v>
      </c>
      <c r="L121" s="43">
        <f t="shared" si="111"/>
        <v>22079.563831762</v>
      </c>
      <c r="M121" s="43">
        <f t="shared" si="111"/>
        <v>22649.788590840344</v>
      </c>
      <c r="N121" s="43">
        <f t="shared" si="111"/>
        <v>23232.02273571102</v>
      </c>
      <c r="Q121" s="38"/>
    </row>
    <row r="122" spans="1:17" ht="14.5" x14ac:dyDescent="0.35">
      <c r="B122" s="41" t="s">
        <v>38</v>
      </c>
      <c r="F122" s="349" t="b">
        <f>SUM(F117:F120)=F121</f>
        <v>1</v>
      </c>
      <c r="G122" s="349" t="b">
        <f t="shared" ref="G122:L122" si="112">SUM(G117:G120)=G121</f>
        <v>1</v>
      </c>
      <c r="H122" s="349" t="b">
        <f t="shared" si="112"/>
        <v>1</v>
      </c>
      <c r="I122" s="349" t="b">
        <f t="shared" si="112"/>
        <v>1</v>
      </c>
      <c r="J122" s="349" t="b">
        <f t="shared" si="112"/>
        <v>1</v>
      </c>
      <c r="K122" s="349" t="b">
        <f t="shared" si="112"/>
        <v>1</v>
      </c>
      <c r="L122" s="349" t="b">
        <f t="shared" si="112"/>
        <v>1</v>
      </c>
      <c r="M122" s="349" t="b">
        <f t="shared" ref="M122:N122" si="113">SUM(M117:M120)=M121</f>
        <v>1</v>
      </c>
      <c r="N122" s="349" t="b">
        <f t="shared" si="113"/>
        <v>1</v>
      </c>
      <c r="Q122" s="38"/>
    </row>
    <row r="123" spans="1:17" x14ac:dyDescent="0.3">
      <c r="B123" s="38"/>
      <c r="Q123" s="38"/>
    </row>
    <row r="124" spans="1:17" x14ac:dyDescent="0.3">
      <c r="B124" s="18" t="s">
        <v>319</v>
      </c>
      <c r="F124" s="43">
        <f>F95+F76</f>
        <v>6722.959154752496</v>
      </c>
      <c r="G124" s="43">
        <f t="shared" ref="G124:N124" si="114">G95+G76</f>
        <v>7797.0505463658255</v>
      </c>
      <c r="H124" s="43">
        <f t="shared" si="114"/>
        <v>8487.8138523681027</v>
      </c>
      <c r="I124" s="43">
        <f t="shared" si="114"/>
        <v>8853.9447643515487</v>
      </c>
      <c r="J124" s="43">
        <f t="shared" si="114"/>
        <v>9233.0728300788323</v>
      </c>
      <c r="K124" s="43">
        <f t="shared" si="114"/>
        <v>9437.1900481930061</v>
      </c>
      <c r="L124" s="43">
        <f t="shared" si="114"/>
        <v>9452.8818360739388</v>
      </c>
      <c r="M124" s="43">
        <f t="shared" si="114"/>
        <v>9395.8232950046968</v>
      </c>
      <c r="N124" s="43">
        <f t="shared" si="114"/>
        <v>9355.2851413581411</v>
      </c>
      <c r="Q124" s="38"/>
    </row>
    <row r="125" spans="1:17" x14ac:dyDescent="0.3">
      <c r="B125" s="38" t="s">
        <v>46</v>
      </c>
      <c r="F125" s="43">
        <f t="shared" ref="F125:N129" si="115">F96+F77</f>
        <v>516.94186743935438</v>
      </c>
      <c r="G125" s="43">
        <f t="shared" si="115"/>
        <v>486.03087445349007</v>
      </c>
      <c r="H125" s="43">
        <f t="shared" si="115"/>
        <v>499.94821979814554</v>
      </c>
      <c r="I125" s="43">
        <f t="shared" si="115"/>
        <v>513.10780960651448</v>
      </c>
      <c r="J125" s="43">
        <f t="shared" si="115"/>
        <v>487.30260036133228</v>
      </c>
      <c r="K125" s="43">
        <f t="shared" si="115"/>
        <v>312.69883994948373</v>
      </c>
      <c r="L125" s="43">
        <f t="shared" si="115"/>
        <v>234.52138591382158</v>
      </c>
      <c r="M125" s="43">
        <f t="shared" si="115"/>
        <v>235.07073398971093</v>
      </c>
      <c r="N125" s="43">
        <f t="shared" si="115"/>
        <v>235.17112884041649</v>
      </c>
      <c r="Q125" s="38"/>
    </row>
    <row r="126" spans="1:17" x14ac:dyDescent="0.3">
      <c r="B126" s="38" t="s">
        <v>47</v>
      </c>
      <c r="F126" s="43">
        <f t="shared" si="115"/>
        <v>-358.50141497981139</v>
      </c>
      <c r="G126" s="43">
        <f t="shared" si="115"/>
        <v>-396.56515476332703</v>
      </c>
      <c r="H126" s="43">
        <f t="shared" si="115"/>
        <v>-427.03129402203228</v>
      </c>
      <c r="I126" s="43">
        <f t="shared" si="115"/>
        <v>-451.15855815507251</v>
      </c>
      <c r="J126" s="43">
        <f t="shared" si="115"/>
        <v>-472.7198648523497</v>
      </c>
      <c r="K126" s="43">
        <f t="shared" si="115"/>
        <v>-488.8778414319051</v>
      </c>
      <c r="L126" s="43">
        <f t="shared" si="115"/>
        <v>-482.98277756368157</v>
      </c>
      <c r="M126" s="43">
        <f t="shared" si="115"/>
        <v>-465.87606087625818</v>
      </c>
      <c r="N126" s="43">
        <f t="shared" si="115"/>
        <v>-478.45113462273025</v>
      </c>
      <c r="Q126" s="38"/>
    </row>
    <row r="127" spans="1:17" x14ac:dyDescent="0.3">
      <c r="B127" s="38" t="s">
        <v>48</v>
      </c>
      <c r="F127" s="43">
        <f t="shared" si="115"/>
        <v>926.01609292032788</v>
      </c>
      <c r="G127" s="43">
        <f t="shared" si="115"/>
        <v>601.29758631211507</v>
      </c>
      <c r="H127" s="43">
        <f t="shared" si="115"/>
        <v>293.21398620733248</v>
      </c>
      <c r="I127" s="43">
        <f t="shared" si="115"/>
        <v>317.17881427584189</v>
      </c>
      <c r="J127" s="43">
        <f t="shared" si="115"/>
        <v>189.53448260518996</v>
      </c>
      <c r="K127" s="43">
        <f t="shared" si="115"/>
        <v>191.87078936335496</v>
      </c>
      <c r="L127" s="43">
        <f t="shared" si="115"/>
        <v>191.40285058061701</v>
      </c>
      <c r="M127" s="43">
        <f t="shared" si="115"/>
        <v>190.26717323999105</v>
      </c>
      <c r="N127" s="43">
        <f t="shared" si="115"/>
        <v>189.45741411556696</v>
      </c>
      <c r="Q127" s="38"/>
    </row>
    <row r="128" spans="1:17" x14ac:dyDescent="0.3">
      <c r="B128" s="38" t="s">
        <v>320</v>
      </c>
      <c r="F128" s="43">
        <f t="shared" si="115"/>
        <v>-10.365153766541635</v>
      </c>
      <c r="G128" s="43">
        <f t="shared" si="115"/>
        <v>0</v>
      </c>
      <c r="H128" s="43">
        <f t="shared" si="115"/>
        <v>0</v>
      </c>
      <c r="I128" s="43">
        <f t="shared" si="115"/>
        <v>0</v>
      </c>
      <c r="J128" s="43">
        <f t="shared" si="115"/>
        <v>0</v>
      </c>
      <c r="K128" s="43">
        <f t="shared" si="115"/>
        <v>0</v>
      </c>
      <c r="L128" s="43">
        <f t="shared" si="115"/>
        <v>0</v>
      </c>
      <c r="M128" s="43">
        <f t="shared" si="115"/>
        <v>0</v>
      </c>
      <c r="N128" s="43">
        <f t="shared" si="115"/>
        <v>0</v>
      </c>
      <c r="Q128" s="38"/>
    </row>
    <row r="129" spans="2:17" x14ac:dyDescent="0.3">
      <c r="B129" s="38" t="s">
        <v>52</v>
      </c>
      <c r="F129" s="43">
        <f t="shared" si="115"/>
        <v>7797.0505463658255</v>
      </c>
      <c r="G129" s="43">
        <f t="shared" si="115"/>
        <v>8487.8138523681027</v>
      </c>
      <c r="H129" s="43">
        <f t="shared" si="115"/>
        <v>8853.9447643515487</v>
      </c>
      <c r="I129" s="43">
        <f t="shared" si="115"/>
        <v>9233.0728300788323</v>
      </c>
      <c r="J129" s="43">
        <f t="shared" si="115"/>
        <v>9437.1900481930061</v>
      </c>
      <c r="K129" s="43">
        <f t="shared" si="115"/>
        <v>9452.8818360739388</v>
      </c>
      <c r="L129" s="43">
        <f t="shared" si="115"/>
        <v>9395.8232950046968</v>
      </c>
      <c r="M129" s="43">
        <f t="shared" si="115"/>
        <v>9355.2851413581411</v>
      </c>
      <c r="N129" s="43">
        <f t="shared" si="115"/>
        <v>9301.4625496913941</v>
      </c>
      <c r="Q129" s="38"/>
    </row>
    <row r="130" spans="2:17" ht="14.5" x14ac:dyDescent="0.35">
      <c r="B130" s="41" t="s">
        <v>38</v>
      </c>
      <c r="F130" s="346" t="b">
        <f>IF(ABS(SUM(F124:F128)-F129)&lt;0.001,TRUE,FALSE)</f>
        <v>1</v>
      </c>
      <c r="G130" s="346" t="b">
        <f t="shared" ref="G130:L130" si="116">IF(ABS(SUM(G124:G128)-G129)&lt;0.001,TRUE,FALSE)</f>
        <v>1</v>
      </c>
      <c r="H130" s="346" t="b">
        <f t="shared" si="116"/>
        <v>1</v>
      </c>
      <c r="I130" s="346" t="b">
        <f t="shared" si="116"/>
        <v>1</v>
      </c>
      <c r="J130" s="346" t="b">
        <f t="shared" si="116"/>
        <v>1</v>
      </c>
      <c r="K130" s="346" t="b">
        <f t="shared" si="116"/>
        <v>1</v>
      </c>
      <c r="L130" s="346" t="b">
        <f t="shared" si="116"/>
        <v>1</v>
      </c>
      <c r="M130" s="346" t="b">
        <f t="shared" ref="M130:N130" si="117">IF(ABS(SUM(M124:M128)-M129)&lt;0.001,TRUE,FALSE)</f>
        <v>1</v>
      </c>
      <c r="N130" s="346" t="b">
        <f t="shared" si="117"/>
        <v>1</v>
      </c>
    </row>
  </sheetData>
  <phoneticPr fontId="51" type="noConversion"/>
  <conditionalFormatting sqref="F20 F38 F46 F56 F64 F74:N74 F82:N82">
    <cfRule type="cellIs" dxfId="17" priority="2" stopIfTrue="1" operator="notEqual">
      <formula>TRUE</formula>
    </cfRule>
  </conditionalFormatting>
  <conditionalFormatting sqref="F28">
    <cfRule type="cellIs" dxfId="16" priority="1" stopIfTrue="1" operator="notEqual">
      <formula>TRUE</formula>
    </cfRule>
  </conditionalFormatting>
  <conditionalFormatting sqref="F122:N122 F130:N130">
    <cfRule type="cellIs" dxfId="15" priority="3" stopIfTrue="1" operator="notEqual">
      <formula>TRUE</formula>
    </cfRule>
  </conditionalFormatting>
  <printOptions horizontalCentered="1" verticalCentered="1"/>
  <pageMargins left="0.19685039370078741" right="0.19685039370078741" top="0.39370078740157483" bottom="0.39370078740157483" header="0.19685039370078741" footer="0.19685039370078741"/>
  <pageSetup paperSize="9" scale="75" orientation="landscape" r:id="rId1"/>
  <headerFooter>
    <oddHeader>&amp;L&amp;"Calibri"&amp;11&amp;K000000File: &amp;F Sheet: &amp;A&amp;Cpage &amp;P of &amp;N&amp;R&amp;"Calibri"&amp;11&amp;K000000File: &amp;F Sheet: &amp;A</oddHeader>
  </headerFooter>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C8D7-0E82-4EC2-A4FC-ABDF1CAEC5C7}">
  <sheetPr codeName="Sheet12"/>
  <dimension ref="A1:N173"/>
  <sheetViews>
    <sheetView zoomScaleNormal="100" workbookViewId="0">
      <selection activeCell="I10" sqref="I10"/>
    </sheetView>
  </sheetViews>
  <sheetFormatPr defaultRowHeight="14.5" x14ac:dyDescent="0.35"/>
  <cols>
    <col min="1" max="1" width="9.7265625" customWidth="1"/>
    <col min="2" max="2" width="19" style="8" customWidth="1"/>
    <col min="3" max="3" width="26.7265625" style="8" bestFit="1" customWidth="1"/>
    <col min="4" max="6" width="13.81640625" customWidth="1"/>
    <col min="7" max="7" width="13.81640625" style="8" customWidth="1"/>
    <col min="8" max="10" width="13.81640625" customWidth="1"/>
    <col min="11" max="12" width="13.81640625" style="195" customWidth="1"/>
    <col min="13" max="13" width="2.1796875" style="8" customWidth="1"/>
    <col min="14" max="14" width="28" customWidth="1"/>
  </cols>
  <sheetData>
    <row r="1" spans="1:14" ht="21" x14ac:dyDescent="0.5">
      <c r="A1" s="100" t="s">
        <v>61</v>
      </c>
      <c r="B1" s="9"/>
      <c r="C1" s="9"/>
    </row>
    <row r="2" spans="1:14" s="8" customFormat="1" ht="9" customHeight="1" x14ac:dyDescent="0.35">
      <c r="K2" s="195"/>
      <c r="L2" s="195"/>
    </row>
    <row r="3" spans="1:14" ht="15.5" x14ac:dyDescent="0.35">
      <c r="A3" s="11" t="s">
        <v>300</v>
      </c>
      <c r="B3" s="11"/>
      <c r="C3" s="11"/>
      <c r="D3" s="33"/>
      <c r="E3" s="33"/>
      <c r="F3" s="33"/>
      <c r="G3" s="33"/>
      <c r="H3" s="33"/>
      <c r="I3" s="33"/>
      <c r="J3" s="33"/>
      <c r="K3" s="196"/>
      <c r="L3" s="196"/>
      <c r="M3" s="33"/>
      <c r="N3" s="33"/>
    </row>
    <row r="4" spans="1:14" ht="9" customHeight="1" x14ac:dyDescent="0.35">
      <c r="A4" s="33"/>
      <c r="B4" s="33"/>
      <c r="C4" s="33"/>
      <c r="D4" s="33"/>
      <c r="E4" s="33"/>
      <c r="F4" s="33"/>
      <c r="G4" s="33"/>
      <c r="H4" s="33"/>
      <c r="I4" s="33"/>
      <c r="J4" s="33"/>
      <c r="K4" s="196"/>
      <c r="L4" s="196"/>
      <c r="M4" s="33"/>
      <c r="N4" s="33"/>
    </row>
    <row r="5" spans="1:14" x14ac:dyDescent="0.35">
      <c r="A5" s="33" t="s">
        <v>115</v>
      </c>
      <c r="B5" s="53"/>
      <c r="D5" s="215" t="s">
        <v>36</v>
      </c>
      <c r="F5" s="196"/>
      <c r="G5" s="196"/>
      <c r="H5" s="196"/>
      <c r="I5" s="196"/>
      <c r="J5" s="196"/>
      <c r="K5" s="82"/>
      <c r="L5" s="82"/>
      <c r="M5" s="33"/>
      <c r="N5" s="65"/>
    </row>
    <row r="6" spans="1:14" x14ac:dyDescent="0.35">
      <c r="A6" s="33" t="s">
        <v>111</v>
      </c>
      <c r="B6" s="107" t="str">
        <f>'Input data'!A42</f>
        <v>Pay &amp; non-pay costs</v>
      </c>
      <c r="C6" s="33"/>
      <c r="D6" s="54">
        <f>'Input data'!E42 + (SUM('Input data'!E195:E196) * 'Input data'!E42/SUM('Input data'!E42,'Input data'!E160))</f>
        <v>28.580199351361866</v>
      </c>
      <c r="F6" s="196"/>
      <c r="G6" s="196"/>
      <c r="H6" s="196"/>
      <c r="I6" s="196"/>
      <c r="J6" s="196"/>
      <c r="K6" s="196"/>
      <c r="L6" s="196"/>
      <c r="M6" s="33"/>
    </row>
    <row r="7" spans="1:14" s="8" customFormat="1" x14ac:dyDescent="0.35">
      <c r="B7" s="107" t="str">
        <f>'Input data'!A43</f>
        <v>OCM Dep</v>
      </c>
      <c r="C7" s="33"/>
      <c r="D7" s="54">
        <f>'Input data'!E43</f>
        <v>327.9</v>
      </c>
      <c r="E7" s="54"/>
      <c r="F7" s="196"/>
      <c r="G7" s="196"/>
      <c r="H7" s="196"/>
      <c r="I7" s="196"/>
      <c r="J7" s="196"/>
      <c r="K7" s="67"/>
      <c r="L7" s="67"/>
      <c r="M7" s="33"/>
      <c r="N7" s="57"/>
    </row>
    <row r="8" spans="1:14" s="8" customFormat="1" x14ac:dyDescent="0.35">
      <c r="B8" s="107" t="str">
        <f>'Input data'!A44</f>
        <v>HG/L</v>
      </c>
      <c r="C8" s="33"/>
      <c r="D8" s="54">
        <f>'Input data'!E44</f>
        <v>-897.79999999999984</v>
      </c>
      <c r="E8" s="54"/>
      <c r="F8" s="196"/>
      <c r="G8" s="196"/>
      <c r="H8" s="196"/>
      <c r="I8" s="196"/>
      <c r="J8" s="196"/>
      <c r="K8" s="54"/>
      <c r="L8" s="54"/>
      <c r="M8" s="33"/>
      <c r="N8" s="57"/>
    </row>
    <row r="9" spans="1:14" s="8" customFormat="1" x14ac:dyDescent="0.35">
      <c r="B9" s="107" t="str">
        <f>'Input data'!A45</f>
        <v>Other CCA</v>
      </c>
      <c r="C9" s="33"/>
      <c r="D9" s="54">
        <f>'Input data'!E45</f>
        <v>19.700000000000003</v>
      </c>
      <c r="E9" s="54"/>
      <c r="F9" s="196"/>
      <c r="G9" s="196"/>
      <c r="H9" s="196"/>
      <c r="I9" s="196"/>
      <c r="J9" s="196"/>
      <c r="K9" s="54"/>
      <c r="L9" s="54"/>
      <c r="M9" s="33"/>
      <c r="N9" s="57"/>
    </row>
    <row r="10" spans="1:14" s="8" customFormat="1" x14ac:dyDescent="0.35">
      <c r="B10" s="110" t="str">
        <f>'Input data'!A46</f>
        <v>Other Dep</v>
      </c>
      <c r="C10" s="210"/>
      <c r="D10" s="111">
        <f>'Input data'!E46</f>
        <v>0</v>
      </c>
      <c r="E10" s="54"/>
      <c r="F10" s="196"/>
      <c r="G10" s="196"/>
      <c r="H10" s="196"/>
      <c r="I10" s="196"/>
      <c r="J10" s="196"/>
      <c r="K10" s="54"/>
      <c r="L10" s="54"/>
      <c r="M10" s="33"/>
      <c r="N10" s="57"/>
    </row>
    <row r="11" spans="1:14" s="8" customFormat="1" x14ac:dyDescent="0.35">
      <c r="B11" s="107" t="str">
        <f>'Input data'!A47</f>
        <v>Total CCA Costs</v>
      </c>
      <c r="C11" s="33"/>
      <c r="D11" s="54">
        <f>SUM(D6:D10)</f>
        <v>-521.61980064863792</v>
      </c>
      <c r="E11" s="54"/>
      <c r="F11" s="116"/>
      <c r="G11" s="54"/>
      <c r="H11" s="54"/>
      <c r="I11" s="54"/>
      <c r="J11" s="54"/>
      <c r="K11" s="54"/>
      <c r="L11" s="54"/>
      <c r="M11" s="33"/>
      <c r="N11" s="57"/>
    </row>
    <row r="12" spans="1:14" s="8" customFormat="1" x14ac:dyDescent="0.35">
      <c r="B12" s="108"/>
      <c r="C12" s="33"/>
      <c r="D12" s="423" t="b">
        <f>D11+'Poles costs forecasts'!D10=SUM('Input data'!E195:E196,'Input data'!E165,'Input data'!E47)</f>
        <v>1</v>
      </c>
      <c r="E12" s="54"/>
      <c r="F12" s="116"/>
      <c r="G12" s="54"/>
      <c r="H12" s="54"/>
      <c r="I12" s="54"/>
      <c r="J12" s="54"/>
      <c r="K12" s="54"/>
      <c r="L12" s="54"/>
      <c r="M12" s="33"/>
      <c r="N12" s="57"/>
    </row>
    <row r="13" spans="1:14" s="8" customFormat="1" ht="9" customHeight="1" x14ac:dyDescent="0.35">
      <c r="B13" s="109"/>
      <c r="C13" s="33"/>
      <c r="D13" s="116"/>
      <c r="E13" s="54"/>
      <c r="F13" s="54"/>
      <c r="G13" s="54"/>
      <c r="H13" s="54"/>
      <c r="I13" s="54"/>
      <c r="J13" s="54"/>
      <c r="K13" s="54"/>
      <c r="L13" s="54"/>
      <c r="M13" s="33"/>
      <c r="N13" s="57"/>
    </row>
    <row r="14" spans="1:14" s="8" customFormat="1" x14ac:dyDescent="0.35">
      <c r="A14" s="106" t="s">
        <v>25</v>
      </c>
      <c r="B14" s="107" t="str">
        <f>'Input data'!A50</f>
        <v>NRC (main COW)</v>
      </c>
      <c r="D14" s="54">
        <f>'Input data'!E50</f>
        <v>6138.1000000000013</v>
      </c>
      <c r="F14" s="228"/>
      <c r="G14" s="54"/>
      <c r="H14" s="54"/>
      <c r="I14" s="54"/>
      <c r="J14" s="54"/>
      <c r="K14" s="67"/>
      <c r="L14" s="67"/>
      <c r="M14" s="33"/>
      <c r="N14" s="298"/>
    </row>
    <row r="15" spans="1:14" s="8" customFormat="1" x14ac:dyDescent="0.35">
      <c r="B15" s="107" t="str">
        <f>'Input data'!A51</f>
        <v>Other COWs</v>
      </c>
      <c r="D15" s="54">
        <f>'Input data'!E51</f>
        <v>-185.19999999999996</v>
      </c>
      <c r="E15" s="54"/>
      <c r="F15" s="54"/>
      <c r="G15" s="54"/>
      <c r="H15" s="54"/>
      <c r="I15" s="54"/>
      <c r="J15" s="54"/>
      <c r="K15" s="54"/>
      <c r="L15" s="54"/>
      <c r="M15" s="33"/>
      <c r="N15" s="57"/>
    </row>
    <row r="16" spans="1:14" s="8" customFormat="1" x14ac:dyDescent="0.35">
      <c r="B16" s="107" t="str">
        <f>'Input data'!A52</f>
        <v>Other non COW</v>
      </c>
      <c r="C16" s="10"/>
      <c r="D16" s="54">
        <f>'Input data'!E52</f>
        <v>0</v>
      </c>
      <c r="E16" s="54"/>
      <c r="F16" s="54"/>
      <c r="G16" s="54"/>
      <c r="H16" s="54"/>
      <c r="I16" s="54"/>
      <c r="J16" s="54"/>
      <c r="K16" s="54"/>
      <c r="L16" s="54"/>
      <c r="M16" s="33"/>
      <c r="N16" s="57"/>
    </row>
    <row r="17" spans="1:14" s="8" customFormat="1" x14ac:dyDescent="0.35">
      <c r="B17" s="110" t="str">
        <f>'Input data'!A53</f>
        <v>NCA</v>
      </c>
      <c r="C17" s="6"/>
      <c r="D17" s="111">
        <f>'Input data'!E53</f>
        <v>64.7</v>
      </c>
      <c r="E17" s="54"/>
      <c r="F17" s="54"/>
      <c r="G17" s="54"/>
      <c r="H17" s="54"/>
      <c r="I17" s="54"/>
      <c r="J17" s="54"/>
      <c r="K17" s="54"/>
      <c r="L17" s="54"/>
      <c r="M17" s="33"/>
      <c r="N17" s="57"/>
    </row>
    <row r="18" spans="1:14" x14ac:dyDescent="0.35">
      <c r="B18" s="107" t="str">
        <f>'Input data'!A54</f>
        <v>Total MCE</v>
      </c>
      <c r="D18" s="54">
        <f>'Input data'!E54</f>
        <v>6017.6000000000013</v>
      </c>
      <c r="F18" s="33"/>
      <c r="G18" s="33"/>
      <c r="H18" s="33"/>
      <c r="I18" s="33"/>
      <c r="J18" s="33"/>
      <c r="K18" s="196"/>
      <c r="L18" s="196"/>
      <c r="M18" s="33"/>
    </row>
    <row r="19" spans="1:14" s="195" customFormat="1" x14ac:dyDescent="0.35">
      <c r="B19" s="107"/>
      <c r="D19" s="351" t="b">
        <f>D18=SUM(D14:D17)</f>
        <v>1</v>
      </c>
      <c r="F19" s="196"/>
      <c r="G19" s="196"/>
      <c r="H19" s="196"/>
      <c r="I19" s="196"/>
      <c r="J19" s="196"/>
      <c r="K19" s="196"/>
      <c r="L19" s="196"/>
      <c r="M19" s="196"/>
    </row>
    <row r="20" spans="1:14" s="8" customFormat="1" ht="9" customHeight="1" x14ac:dyDescent="0.35">
      <c r="A20" s="6"/>
      <c r="B20" s="6"/>
      <c r="C20" s="6"/>
      <c r="D20" s="6"/>
      <c r="E20" s="149"/>
      <c r="F20" s="6"/>
      <c r="G20" s="6"/>
      <c r="H20" s="6"/>
      <c r="I20" s="6"/>
      <c r="J20" s="6"/>
      <c r="K20" s="6"/>
      <c r="L20" s="6"/>
      <c r="M20" s="6"/>
      <c r="N20" s="150"/>
    </row>
    <row r="21" spans="1:14" ht="9" customHeight="1" x14ac:dyDescent="0.35"/>
    <row r="22" spans="1:14" s="8" customFormat="1" ht="15.5" x14ac:dyDescent="0.35">
      <c r="A22" s="11" t="s">
        <v>130</v>
      </c>
      <c r="B22" s="11"/>
      <c r="C22" s="11"/>
      <c r="K22" s="195"/>
      <c r="L22" s="195"/>
    </row>
    <row r="23" spans="1:14" s="8" customFormat="1" ht="9" customHeight="1" x14ac:dyDescent="0.35">
      <c r="K23" s="195"/>
      <c r="L23" s="195"/>
    </row>
    <row r="24" spans="1:14" s="38" customFormat="1" x14ac:dyDescent="0.35">
      <c r="A24" s="151" t="s">
        <v>274</v>
      </c>
      <c r="B24" s="143"/>
      <c r="C24" s="143"/>
      <c r="D24" s="39" t="s">
        <v>36</v>
      </c>
      <c r="E24" s="39" t="s">
        <v>37</v>
      </c>
      <c r="F24" s="39" t="s">
        <v>40</v>
      </c>
      <c r="G24" s="39" t="s">
        <v>39</v>
      </c>
      <c r="H24" s="39" t="s">
        <v>266</v>
      </c>
      <c r="I24" s="39" t="s">
        <v>267</v>
      </c>
      <c r="J24" s="39" t="s">
        <v>268</v>
      </c>
      <c r="K24" s="39" t="s">
        <v>269</v>
      </c>
      <c r="L24" s="39" t="s">
        <v>270</v>
      </c>
      <c r="M24" s="8"/>
    </row>
    <row r="25" spans="1:14" s="38" customFormat="1" x14ac:dyDescent="0.35">
      <c r="A25" s="145" t="str">
        <f>'Parameters and Assumptions'!A36</f>
        <v>PIA Asset Inflation value</v>
      </c>
      <c r="B25" s="145"/>
      <c r="C25" s="145"/>
      <c r="D25" s="248" cm="1">
        <f t="array" ref="D25:L25">asset_inflation</f>
        <v>0.12873938663127604</v>
      </c>
      <c r="E25" s="248">
        <v>7.4787643228200862E-2</v>
      </c>
      <c r="F25" s="248">
        <v>3.3557004069397545E-2</v>
      </c>
      <c r="G25" s="248">
        <v>3.4814649098156014E-2</v>
      </c>
      <c r="H25" s="248">
        <v>0.02</v>
      </c>
      <c r="I25" s="248">
        <v>0.02</v>
      </c>
      <c r="J25" s="248">
        <v>0.02</v>
      </c>
      <c r="K25" s="248">
        <v>0.02</v>
      </c>
      <c r="L25" s="248">
        <v>0.02</v>
      </c>
      <c r="M25" s="8"/>
      <c r="N25" s="20"/>
    </row>
    <row r="26" spans="1:14" s="38" customFormat="1" x14ac:dyDescent="0.35">
      <c r="A26" s="145" t="str">
        <f>'Parameters and Assumptions'!A38</f>
        <v>Opex Inflation value</v>
      </c>
      <c r="B26" s="145"/>
      <c r="C26" s="145"/>
      <c r="D26" s="248" cm="1">
        <f t="array" ref="D26:L26">opex_inflation</f>
        <v>0.10036409874522789</v>
      </c>
      <c r="E26" s="248">
        <v>5.6703919580784135E-2</v>
      </c>
      <c r="F26" s="248">
        <v>2.2608687962007545E-2</v>
      </c>
      <c r="G26" s="248">
        <v>2.5861655271887107E-2</v>
      </c>
      <c r="H26" s="248">
        <v>2.1778243527577512E-2</v>
      </c>
      <c r="I26" s="248">
        <v>2.1112015247234828E-2</v>
      </c>
      <c r="J26" s="248">
        <v>2.0605611437519933E-2</v>
      </c>
      <c r="K26" s="248">
        <v>2.0170109706586503E-2</v>
      </c>
      <c r="L26" s="248">
        <v>0.02</v>
      </c>
      <c r="M26" s="8"/>
    </row>
    <row r="27" spans="1:14" s="196" customFormat="1" ht="9" customHeight="1" x14ac:dyDescent="0.3">
      <c r="A27" s="55"/>
      <c r="B27" s="55"/>
      <c r="C27" s="55"/>
      <c r="D27" s="50"/>
      <c r="E27" s="50"/>
      <c r="F27" s="50"/>
      <c r="G27" s="50"/>
      <c r="H27" s="50"/>
      <c r="I27" s="50"/>
      <c r="J27" s="50"/>
      <c r="K27" s="50"/>
      <c r="L27" s="50"/>
    </row>
    <row r="28" spans="1:14" s="196" customFormat="1" x14ac:dyDescent="0.3">
      <c r="A28" s="274" t="s">
        <v>70</v>
      </c>
      <c r="B28" s="26"/>
      <c r="C28" s="38"/>
      <c r="E28" s="26"/>
      <c r="H28" s="50"/>
      <c r="I28" s="50"/>
      <c r="J28" s="50"/>
      <c r="K28" s="50"/>
      <c r="L28" s="50"/>
    </row>
    <row r="29" spans="1:14" s="196" customFormat="1" ht="13" x14ac:dyDescent="0.3">
      <c r="B29" s="26" t="str">
        <f>'Input data'!A114</f>
        <v>Lead-in duct</v>
      </c>
      <c r="C29" s="223" t="str">
        <f>'Input data'!C113</f>
        <v>Assets pre 31/3/2018</v>
      </c>
      <c r="D29" s="137">
        <f>'Input data'!C114</f>
        <v>9.3522440828465225E-2</v>
      </c>
      <c r="E29" s="138"/>
      <c r="H29" s="50"/>
      <c r="I29" s="50"/>
      <c r="J29" s="50"/>
      <c r="K29" s="50"/>
      <c r="L29" s="50"/>
    </row>
    <row r="30" spans="1:14" s="196" customFormat="1" ht="13" x14ac:dyDescent="0.3">
      <c r="A30" s="26"/>
      <c r="B30" s="26" t="str">
        <f>'Input data'!A115</f>
        <v>Spine duct – single bore</v>
      </c>
      <c r="C30" s="38"/>
      <c r="D30" s="137">
        <f>'Input data'!C115</f>
        <v>0.36632568438600105</v>
      </c>
      <c r="E30" s="138"/>
      <c r="H30" s="50"/>
      <c r="I30" s="50"/>
      <c r="J30" s="50"/>
      <c r="K30" s="50"/>
      <c r="L30" s="50"/>
    </row>
    <row r="31" spans="1:14" s="196" customFormat="1" ht="13" x14ac:dyDescent="0.3">
      <c r="A31" s="26"/>
      <c r="B31" s="26" t="str">
        <f>'Input data'!A116</f>
        <v>Spine duct – 2 bores</v>
      </c>
      <c r="C31" s="38"/>
      <c r="D31" s="137">
        <f>'Input data'!C116</f>
        <v>9.6567223901176141E-2</v>
      </c>
      <c r="E31" s="138"/>
      <c r="H31" s="50"/>
      <c r="I31" s="50"/>
      <c r="J31" s="50"/>
      <c r="K31" s="50"/>
      <c r="L31" s="50"/>
    </row>
    <row r="32" spans="1:14" s="196" customFormat="1" ht="13" x14ac:dyDescent="0.3">
      <c r="A32" s="26"/>
      <c r="B32" s="26" t="str">
        <f>'Input data'!A117</f>
        <v>Spine duct – 3+ bores</v>
      </c>
      <c r="C32" s="38"/>
      <c r="D32" s="137">
        <f>'Input data'!C117</f>
        <v>0.15289390493367422</v>
      </c>
      <c r="E32" s="138"/>
      <c r="H32" s="50"/>
      <c r="I32" s="50"/>
      <c r="J32" s="50"/>
      <c r="K32" s="50"/>
      <c r="L32" s="50"/>
    </row>
    <row r="33" spans="1:14" s="196" customFormat="1" ht="13" x14ac:dyDescent="0.3">
      <c r="A33" s="38"/>
      <c r="B33" s="26" t="str">
        <f>'Input data'!A118</f>
        <v>Joint boxes</v>
      </c>
      <c r="C33" s="38"/>
      <c r="D33" s="137">
        <f>'Input data'!C118</f>
        <v>0.17397355666977582</v>
      </c>
      <c r="E33" s="138"/>
      <c r="H33" s="50"/>
      <c r="I33" s="50"/>
      <c r="J33" s="50"/>
      <c r="K33" s="50"/>
      <c r="L33" s="50"/>
    </row>
    <row r="34" spans="1:14" s="196" customFormat="1" ht="13" x14ac:dyDescent="0.3">
      <c r="A34" s="38"/>
      <c r="B34" s="148" t="str">
        <f>'Input data'!A119</f>
        <v>Manholes</v>
      </c>
      <c r="C34" s="147"/>
      <c r="D34" s="139">
        <f>'Input data'!C119</f>
        <v>0.11671718928090756</v>
      </c>
      <c r="E34" s="291"/>
      <c r="H34" s="50"/>
      <c r="I34" s="50"/>
      <c r="J34" s="50"/>
      <c r="K34" s="50"/>
      <c r="L34" s="50"/>
    </row>
    <row r="35" spans="1:14" s="196" customFormat="1" ht="13" x14ac:dyDescent="0.3">
      <c r="A35" s="38"/>
      <c r="B35" s="26" t="s">
        <v>1</v>
      </c>
      <c r="C35" s="38"/>
      <c r="D35" s="137">
        <f>SUM(D29:D34)</f>
        <v>1</v>
      </c>
      <c r="E35" s="138"/>
      <c r="H35" s="50"/>
      <c r="I35" s="50"/>
      <c r="J35" s="50"/>
      <c r="K35" s="50"/>
      <c r="L35" s="50"/>
    </row>
    <row r="36" spans="1:14" s="38" customFormat="1" ht="13" x14ac:dyDescent="0.3">
      <c r="B36" s="143"/>
      <c r="C36" s="143"/>
      <c r="M36" s="26"/>
    </row>
    <row r="37" spans="1:14" s="38" customFormat="1" ht="13" x14ac:dyDescent="0.3">
      <c r="B37" s="285" t="str">
        <f t="shared" ref="B37:B42" si="0">B29</f>
        <v>Lead-in duct</v>
      </c>
      <c r="C37" s="276" t="s">
        <v>63</v>
      </c>
      <c r="D37" s="137">
        <f>'D&amp;C Vols'!D53</f>
        <v>0.11480052622074903</v>
      </c>
      <c r="E37" s="289">
        <f>'D&amp;C Vols'!E53</f>
        <v>0.11546880617873709</v>
      </c>
      <c r="F37" s="289">
        <f>'D&amp;C Vols'!F53</f>
        <v>0.11617097509946668</v>
      </c>
      <c r="G37" s="289">
        <f>'D&amp;C Vols'!G53</f>
        <v>0.11677240795904607</v>
      </c>
      <c r="H37" s="289">
        <f>'D&amp;C Vols'!H53</f>
        <v>0.1172263383740509</v>
      </c>
      <c r="I37" s="289">
        <f>'D&amp;C Vols'!I53</f>
        <v>0.11753463991587965</v>
      </c>
      <c r="J37" s="289">
        <f>'D&amp;C Vols'!J53</f>
        <v>0.11774672153484576</v>
      </c>
      <c r="K37" s="289">
        <f>'D&amp;C Vols'!K53</f>
        <v>0.11796145923004397</v>
      </c>
      <c r="L37" s="289">
        <f>'D&amp;C Vols'!L53</f>
        <v>0.11796145923004397</v>
      </c>
      <c r="M37" s="26"/>
    </row>
    <row r="38" spans="1:14" s="38" customFormat="1" ht="13" x14ac:dyDescent="0.3">
      <c r="B38" s="286" t="str">
        <f t="shared" si="0"/>
        <v>Spine duct – single bore</v>
      </c>
      <c r="C38" s="143"/>
      <c r="D38" s="137">
        <f>'D&amp;C Vols'!D54</f>
        <v>0.37723723097508421</v>
      </c>
      <c r="E38" s="289">
        <f>'D&amp;C Vols'!E54</f>
        <v>0.37943321464490459</v>
      </c>
      <c r="F38" s="289">
        <f>'D&amp;C Vols'!F54</f>
        <v>0.38174055824386549</v>
      </c>
      <c r="G38" s="289">
        <f>'D&amp;C Vols'!G54</f>
        <v>0.38371688077507843</v>
      </c>
      <c r="H38" s="289">
        <f>'D&amp;C Vols'!H54</f>
        <v>0.38520850680197061</v>
      </c>
      <c r="I38" s="289">
        <f>'D&amp;C Vols'!I54</f>
        <v>0.38622159292425173</v>
      </c>
      <c r="J38" s="289">
        <f>'D&amp;C Vols'!J54</f>
        <v>0.38691849811548457</v>
      </c>
      <c r="K38" s="289">
        <f>'D&amp;C Vols'!K54</f>
        <v>0.38762413123572631</v>
      </c>
      <c r="L38" s="289">
        <f>'D&amp;C Vols'!L54</f>
        <v>0.38762413123572631</v>
      </c>
      <c r="M38" s="26"/>
    </row>
    <row r="39" spans="1:14" s="38" customFormat="1" ht="13" x14ac:dyDescent="0.3">
      <c r="B39" s="286" t="str">
        <f t="shared" si="0"/>
        <v>Spine duct – 2 bores</v>
      </c>
      <c r="C39" s="143"/>
      <c r="D39" s="137">
        <f>'D&amp;C Vols'!D55</f>
        <v>9.6789664379198559E-2</v>
      </c>
      <c r="E39" s="289">
        <f>'D&amp;C Vols'!E55</f>
        <v>9.6157716289612755E-2</v>
      </c>
      <c r="F39" s="289">
        <f>'D&amp;C Vols'!F55</f>
        <v>9.5492108589455241E-2</v>
      </c>
      <c r="G39" s="289">
        <f>'D&amp;C Vols'!G55</f>
        <v>9.4918602254390111E-2</v>
      </c>
      <c r="H39" s="289">
        <f>'D&amp;C Vols'!H55</f>
        <v>9.4487151318368906E-2</v>
      </c>
      <c r="I39" s="289">
        <f>'D&amp;C Vols'!I55</f>
        <v>9.419139454857943E-2</v>
      </c>
      <c r="J39" s="289">
        <f>'D&amp;C Vols'!J55</f>
        <v>9.3987715981109221E-2</v>
      </c>
      <c r="K39" s="289">
        <f>'D&amp;C Vols'!K55</f>
        <v>9.3785560927536302E-2</v>
      </c>
      <c r="L39" s="289">
        <f>'D&amp;C Vols'!L55</f>
        <v>9.3785560927536274E-2</v>
      </c>
      <c r="M39" s="26"/>
    </row>
    <row r="40" spans="1:14" s="38" customFormat="1" ht="13" x14ac:dyDescent="0.3">
      <c r="B40" s="286" t="str">
        <f t="shared" si="0"/>
        <v>Spine duct – 3+ bores</v>
      </c>
      <c r="C40" s="143"/>
      <c r="D40" s="137">
        <f>'D&amp;C Vols'!D56</f>
        <v>0.10997091626341114</v>
      </c>
      <c r="E40" s="289">
        <f>'D&amp;C Vols'!E56</f>
        <v>0.10923695355728463</v>
      </c>
      <c r="F40" s="289">
        <f>'D&amp;C Vols'!F56</f>
        <v>0.10846398441826313</v>
      </c>
      <c r="G40" s="289">
        <f>'D&amp;C Vols'!G56</f>
        <v>0.1077964074327486</v>
      </c>
      <c r="H40" s="289">
        <f>'D&amp;C Vols'!H56</f>
        <v>0.10729081086103974</v>
      </c>
      <c r="I40" s="289">
        <f>'D&amp;C Vols'!I56</f>
        <v>0.10694188227080963</v>
      </c>
      <c r="J40" s="289">
        <f>'D&amp;C Vols'!J56</f>
        <v>0.10669843108202365</v>
      </c>
      <c r="K40" s="289">
        <f>'D&amp;C Vols'!K56</f>
        <v>0.10645710003569885</v>
      </c>
      <c r="L40" s="289">
        <f>'D&amp;C Vols'!L56</f>
        <v>0.10645710003569883</v>
      </c>
      <c r="M40" s="26"/>
    </row>
    <row r="41" spans="1:14" s="38" customFormat="1" ht="13" x14ac:dyDescent="0.3">
      <c r="B41" s="286" t="str">
        <f t="shared" si="0"/>
        <v>Joint boxes</v>
      </c>
      <c r="C41" s="143"/>
      <c r="D41" s="137">
        <f>'D&amp;C Vols'!D57</f>
        <v>0.1567118998412958</v>
      </c>
      <c r="E41" s="289">
        <f>'D&amp;C Vols'!E57</f>
        <v>0.15617930604964106</v>
      </c>
      <c r="F41" s="289">
        <f>'D&amp;C Vols'!F57</f>
        <v>0.1556249873188229</v>
      </c>
      <c r="G41" s="289">
        <f>'D&amp;C Vols'!G57</f>
        <v>0.15516658830376973</v>
      </c>
      <c r="H41" s="289">
        <f>'D&amp;C Vols'!H57</f>
        <v>0.15482329822567242</v>
      </c>
      <c r="I41" s="289">
        <f>'D&amp;C Vols'!I57</f>
        <v>0.15460571207321752</v>
      </c>
      <c r="J41" s="289">
        <f>'D&amp;C Vols'!J57</f>
        <v>0.15446422136637974</v>
      </c>
      <c r="K41" s="289">
        <f>'D&amp;C Vols'!K57</f>
        <v>0.15430487940856852</v>
      </c>
      <c r="L41" s="289">
        <f>'D&amp;C Vols'!L57</f>
        <v>0.15430487940856852</v>
      </c>
      <c r="M41" s="26"/>
    </row>
    <row r="42" spans="1:14" s="38" customFormat="1" ht="13" x14ac:dyDescent="0.3">
      <c r="B42" s="287" t="str">
        <f t="shared" si="0"/>
        <v>Manholes</v>
      </c>
      <c r="C42" s="288"/>
      <c r="D42" s="290">
        <f>'D&amp;C Vols'!D58</f>
        <v>0.14448976232026123</v>
      </c>
      <c r="E42" s="290">
        <f>'D&amp;C Vols'!E58</f>
        <v>0.14352400327981987</v>
      </c>
      <c r="F42" s="290">
        <f>'D&amp;C Vols'!F58</f>
        <v>0.1425073863301265</v>
      </c>
      <c r="G42" s="290">
        <f>'D&amp;C Vols'!G58</f>
        <v>0.14162911327496711</v>
      </c>
      <c r="H42" s="290">
        <f>'D&amp;C Vols'!H58</f>
        <v>0.14096389441889737</v>
      </c>
      <c r="I42" s="290">
        <f>'D&amp;C Vols'!I58</f>
        <v>0.1405047782672621</v>
      </c>
      <c r="J42" s="290">
        <f>'D&amp;C Vols'!J58</f>
        <v>0.14018441192015715</v>
      </c>
      <c r="K42" s="290">
        <f>'D&amp;C Vols'!K58</f>
        <v>0.13986686916242608</v>
      </c>
      <c r="L42" s="290">
        <f>'D&amp;C Vols'!L58</f>
        <v>0.13986686916242611</v>
      </c>
      <c r="M42" s="26"/>
    </row>
    <row r="43" spans="1:14" s="38" customFormat="1" ht="13" x14ac:dyDescent="0.3">
      <c r="B43" s="24" t="s">
        <v>1</v>
      </c>
      <c r="C43" s="143"/>
      <c r="D43" s="137">
        <f>SUM(D37:D42)</f>
        <v>1</v>
      </c>
      <c r="E43" s="289">
        <f t="shared" ref="E43:J43" si="1">SUM(E37:E42)</f>
        <v>0.99999999999999989</v>
      </c>
      <c r="F43" s="289">
        <f t="shared" si="1"/>
        <v>0.99999999999999989</v>
      </c>
      <c r="G43" s="289">
        <f t="shared" si="1"/>
        <v>1</v>
      </c>
      <c r="H43" s="289">
        <f t="shared" si="1"/>
        <v>1</v>
      </c>
      <c r="I43" s="289">
        <f t="shared" si="1"/>
        <v>1</v>
      </c>
      <c r="J43" s="289">
        <f t="shared" si="1"/>
        <v>1</v>
      </c>
      <c r="K43" s="289">
        <f t="shared" ref="K43:L43" si="2">SUM(K37:K42)</f>
        <v>1</v>
      </c>
      <c r="L43" s="289">
        <f t="shared" si="2"/>
        <v>1</v>
      </c>
      <c r="M43" s="26"/>
    </row>
    <row r="44" spans="1:14" s="38" customFormat="1" ht="13" x14ac:dyDescent="0.3">
      <c r="B44" s="143"/>
      <c r="C44" s="143"/>
      <c r="M44" s="26"/>
    </row>
    <row r="45" spans="1:14" s="38" customFormat="1" ht="13" x14ac:dyDescent="0.3">
      <c r="A45" s="143"/>
      <c r="B45" s="143"/>
      <c r="C45" s="143"/>
      <c r="D45" s="26"/>
      <c r="E45" s="26"/>
      <c r="F45" s="26"/>
      <c r="G45" s="26"/>
      <c r="H45" s="26"/>
      <c r="I45" s="26"/>
      <c r="J45" s="26"/>
      <c r="K45" s="26"/>
      <c r="L45" s="26"/>
      <c r="M45" s="26"/>
    </row>
    <row r="46" spans="1:14" s="38" customFormat="1" x14ac:dyDescent="0.3">
      <c r="A46" s="151" t="s">
        <v>66</v>
      </c>
      <c r="B46" s="143"/>
      <c r="C46" s="143"/>
      <c r="D46" s="39" t="s">
        <v>36</v>
      </c>
      <c r="E46" s="39" t="s">
        <v>37</v>
      </c>
      <c r="F46" s="39" t="s">
        <v>40</v>
      </c>
      <c r="G46" s="39" t="s">
        <v>39</v>
      </c>
      <c r="H46" s="39" t="s">
        <v>266</v>
      </c>
      <c r="I46" s="39" t="s">
        <v>267</v>
      </c>
      <c r="J46" s="39" t="s">
        <v>268</v>
      </c>
      <c r="K46" s="39" t="s">
        <v>269</v>
      </c>
      <c r="L46" s="39" t="s">
        <v>270</v>
      </c>
      <c r="M46" s="26"/>
    </row>
    <row r="47" spans="1:14" s="38" customFormat="1" ht="13" x14ac:dyDescent="0.3">
      <c r="A47" s="145" t="str">
        <f>'D&amp;C Vols'!A14</f>
        <v>Lead-ins</v>
      </c>
      <c r="B47" s="145"/>
      <c r="C47" s="145"/>
      <c r="D47" s="273">
        <f>'D&amp;C Vols'!D15</f>
        <v>1.1343929101693906E-2</v>
      </c>
      <c r="E47" s="273">
        <f>'D&amp;C Vols'!E15</f>
        <v>1.258930038890882E-2</v>
      </c>
      <c r="F47" s="273">
        <f>'D&amp;C Vols'!F15</f>
        <v>1.3258191932130403E-2</v>
      </c>
      <c r="G47" s="273">
        <f>'D&amp;C Vols'!G15</f>
        <v>1.1410458220303399E-2</v>
      </c>
      <c r="H47" s="273">
        <f>'D&amp;C Vols'!H15</f>
        <v>8.62472597445052E-3</v>
      </c>
      <c r="I47" s="273">
        <f>'D&amp;C Vols'!I15</f>
        <v>5.906181420883172E-3</v>
      </c>
      <c r="J47" s="273">
        <f>'D&amp;C Vols'!J15</f>
        <v>4.0938624283102243E-3</v>
      </c>
      <c r="K47" s="273">
        <f>'D&amp;C Vols'!K15</f>
        <v>4.0981873965542093E-3</v>
      </c>
      <c r="L47" s="273">
        <f>'D&amp;C Vols'!L15</f>
        <v>0</v>
      </c>
      <c r="M47" s="26"/>
      <c r="N47" s="38" t="s">
        <v>323</v>
      </c>
    </row>
    <row r="48" spans="1:14" s="38" customFormat="1" ht="13" x14ac:dyDescent="0.3">
      <c r="A48" s="145" t="str">
        <f>'D&amp;C Vols'!A15</f>
        <v>Spine duct – single bore</v>
      </c>
      <c r="B48" s="145"/>
      <c r="C48" s="145"/>
      <c r="D48" s="273">
        <f>'D&amp;C Vols'!D15</f>
        <v>1.1343929101693906E-2</v>
      </c>
      <c r="E48" s="273">
        <f>'D&amp;C Vols'!E15</f>
        <v>1.258930038890882E-2</v>
      </c>
      <c r="F48" s="273">
        <f>'D&amp;C Vols'!F15</f>
        <v>1.3258191932130403E-2</v>
      </c>
      <c r="G48" s="273">
        <f>'D&amp;C Vols'!G15</f>
        <v>1.1410458220303399E-2</v>
      </c>
      <c r="H48" s="273">
        <f>'D&amp;C Vols'!H15</f>
        <v>8.62472597445052E-3</v>
      </c>
      <c r="I48" s="273">
        <f>'D&amp;C Vols'!I15</f>
        <v>5.906181420883172E-3</v>
      </c>
      <c r="J48" s="273">
        <f>'D&amp;C Vols'!J15</f>
        <v>4.0938624283102243E-3</v>
      </c>
      <c r="K48" s="273">
        <f>'D&amp;C Vols'!K15</f>
        <v>4.0981873965542093E-3</v>
      </c>
      <c r="L48" s="273">
        <f>'D&amp;C Vols'!L15</f>
        <v>0</v>
      </c>
      <c r="M48" s="26"/>
    </row>
    <row r="49" spans="1:14" s="38" customFormat="1" ht="13" x14ac:dyDescent="0.3">
      <c r="A49" s="145" t="str">
        <f>'D&amp;C Vols'!A16</f>
        <v>Spine duct – 2 bores</v>
      </c>
      <c r="B49" s="145"/>
      <c r="C49" s="145"/>
      <c r="D49" s="273">
        <f>'D&amp;C Vols'!D16</f>
        <v>2.1660222597263967E-4</v>
      </c>
      <c r="E49" s="273">
        <f>'D&amp;C Vols'!E16</f>
        <v>1.5588253911658079E-4</v>
      </c>
      <c r="F49" s="273">
        <f>'D&amp;C Vols'!F16</f>
        <v>1.6236243704947917E-4</v>
      </c>
      <c r="G49" s="273">
        <f>'D&amp;C Vols'!G16</f>
        <v>1.5817686466923497E-4</v>
      </c>
      <c r="H49" s="273">
        <f>'D&amp;C Vols'!H16</f>
        <v>1.5213871017438763E-4</v>
      </c>
      <c r="I49" s="273">
        <f>'D&amp;C Vols'!I16</f>
        <v>1.272645696228647E-4</v>
      </c>
      <c r="J49" s="273">
        <f>'D&amp;C Vols'!J16</f>
        <v>1.1798860512834963E-4</v>
      </c>
      <c r="K49" s="273">
        <f>'D&amp;C Vols'!K16</f>
        <v>1.1457156953342817E-4</v>
      </c>
      <c r="L49" s="273">
        <f>'D&amp;C Vols'!L16</f>
        <v>0</v>
      </c>
      <c r="M49" s="26"/>
    </row>
    <row r="50" spans="1:14" s="38" customFormat="1" ht="13" x14ac:dyDescent="0.3">
      <c r="A50" s="145" t="str">
        <f>'D&amp;C Vols'!A17</f>
        <v>Spine duct – 3+ bores</v>
      </c>
      <c r="B50" s="145"/>
      <c r="C50" s="145"/>
      <c r="D50" s="273">
        <f>'D&amp;C Vols'!D17</f>
        <v>1.9475338070451542E-5</v>
      </c>
      <c r="E50" s="273">
        <f>'D&amp;C Vols'!E17</f>
        <v>9.8400190053915537E-6</v>
      </c>
      <c r="F50" s="273">
        <f>'D&amp;C Vols'!F17</f>
        <v>7.2276449754049565E-6</v>
      </c>
      <c r="G50" s="273">
        <f>'D&amp;C Vols'!G17</f>
        <v>8.2246063866087127E-6</v>
      </c>
      <c r="H50" s="273">
        <f>'D&amp;C Vols'!H17</f>
        <v>6.6473212663176184E-6</v>
      </c>
      <c r="I50" s="273">
        <f>'D&amp;C Vols'!I17</f>
        <v>4.816706728139053E-6</v>
      </c>
      <c r="J50" s="273">
        <f>'D&amp;C Vols'!J17</f>
        <v>3.6370321618850454E-6</v>
      </c>
      <c r="K50" s="273">
        <f>'D&amp;C Vols'!K17</f>
        <v>3.381444630523589E-6</v>
      </c>
      <c r="L50" s="273">
        <f>'D&amp;C Vols'!L17</f>
        <v>0</v>
      </c>
      <c r="M50" s="26"/>
    </row>
    <row r="51" spans="1:14" s="38" customFormat="1" ht="13" x14ac:dyDescent="0.3">
      <c r="A51" s="145" t="str">
        <f>'D&amp;C Vols'!A18</f>
        <v>Joint boxes</v>
      </c>
      <c r="B51" s="145"/>
      <c r="C51" s="145"/>
      <c r="D51" s="273">
        <f>'D&amp;C Vols'!D18</f>
        <v>3.6916909694171274E-3</v>
      </c>
      <c r="E51" s="273">
        <f>'D&amp;C Vols'!E18</f>
        <v>3.3074804731805241E-3</v>
      </c>
      <c r="F51" s="273">
        <f>'D&amp;C Vols'!F18</f>
        <v>3.5592190054627437E-3</v>
      </c>
      <c r="G51" s="273">
        <f>'D&amp;C Vols'!G18</f>
        <v>3.2374163510267007E-3</v>
      </c>
      <c r="H51" s="273">
        <f>'D&amp;C Vols'!H18</f>
        <v>2.4962352745461214E-3</v>
      </c>
      <c r="I51" s="273">
        <f>'D&amp;C Vols'!I18</f>
        <v>1.8576434463093427E-3</v>
      </c>
      <c r="J51" s="273">
        <f>'D&amp;C Vols'!J18</f>
        <v>1.3680580260542197E-3</v>
      </c>
      <c r="K51" s="273">
        <f>'D&amp;C Vols'!K18</f>
        <v>1.2364010452059482E-3</v>
      </c>
      <c r="L51" s="273">
        <f>'D&amp;C Vols'!L18</f>
        <v>0</v>
      </c>
      <c r="M51" s="26"/>
    </row>
    <row r="52" spans="1:14" s="38" customFormat="1" ht="13" x14ac:dyDescent="0.3">
      <c r="A52" s="145" t="str">
        <f>'D&amp;C Vols'!A19</f>
        <v>Manholes</v>
      </c>
      <c r="B52" s="145"/>
      <c r="C52" s="145"/>
      <c r="D52" s="273">
        <f>'D&amp;C Vols'!D19</f>
        <v>0</v>
      </c>
      <c r="E52" s="273">
        <f>'D&amp;C Vols'!E19</f>
        <v>0</v>
      </c>
      <c r="F52" s="273">
        <f>'D&amp;C Vols'!F19</f>
        <v>0</v>
      </c>
      <c r="G52" s="273">
        <f>'D&amp;C Vols'!G19</f>
        <v>0</v>
      </c>
      <c r="H52" s="273">
        <f>'D&amp;C Vols'!H19</f>
        <v>0</v>
      </c>
      <c r="I52" s="273">
        <f>'D&amp;C Vols'!I19</f>
        <v>0</v>
      </c>
      <c r="J52" s="273">
        <f>'D&amp;C Vols'!J19</f>
        <v>0</v>
      </c>
      <c r="K52" s="273">
        <f>'D&amp;C Vols'!K19</f>
        <v>0</v>
      </c>
      <c r="L52" s="273">
        <f>'D&amp;C Vols'!L19</f>
        <v>0</v>
      </c>
      <c r="M52" s="26"/>
    </row>
    <row r="53" spans="1:14" s="38" customFormat="1" x14ac:dyDescent="0.3">
      <c r="A53" s="151"/>
      <c r="B53" s="151"/>
      <c r="C53" s="151"/>
      <c r="D53" s="151"/>
      <c r="E53" s="151"/>
      <c r="F53" s="151"/>
      <c r="G53" s="26"/>
      <c r="H53" s="26"/>
      <c r="I53" s="26"/>
      <c r="J53" s="26"/>
      <c r="K53" s="26"/>
      <c r="L53" s="26"/>
      <c r="M53" s="26"/>
    </row>
    <row r="54" spans="1:14" s="38" customFormat="1" x14ac:dyDescent="0.3">
      <c r="A54" s="145" t="s">
        <v>201</v>
      </c>
      <c r="B54" s="151"/>
      <c r="C54" s="151"/>
      <c r="D54" s="26">
        <f t="shared" ref="D54:J54" si="3">SUMPRODUCT(D37:D42,D47:D52)</f>
        <v>6.1832799159581529E-3</v>
      </c>
      <c r="E54" s="26">
        <f t="shared" si="3"/>
        <v>6.763094410970877E-3</v>
      </c>
      <c r="F54" s="26">
        <f t="shared" si="3"/>
        <v>7.1715983575188682E-3</v>
      </c>
      <c r="G54" s="26">
        <f t="shared" si="3"/>
        <v>6.2290514788421554E-3</v>
      </c>
      <c r="H54" s="26">
        <f t="shared" si="3"/>
        <v>4.7349265878295025E-3</v>
      </c>
      <c r="I54" s="26">
        <f t="shared" si="3"/>
        <v>3.2749803258225389E-3</v>
      </c>
      <c r="J54" s="26">
        <f t="shared" si="3"/>
        <v>2.2888235445131843E-3</v>
      </c>
      <c r="K54" s="26">
        <f t="shared" ref="K54:L54" si="4">SUMPRODUCT(K37:K42,K47:K52)</f>
        <v>2.2738723466117069E-3</v>
      </c>
      <c r="L54" s="26">
        <f t="shared" si="4"/>
        <v>0</v>
      </c>
      <c r="M54" s="26"/>
    </row>
    <row r="55" spans="1:14" s="8" customFormat="1" ht="9" customHeight="1" x14ac:dyDescent="0.35">
      <c r="A55" s="6"/>
      <c r="B55" s="6"/>
      <c r="C55" s="6"/>
      <c r="D55" s="6"/>
      <c r="E55" s="149"/>
      <c r="F55" s="6"/>
      <c r="G55" s="6"/>
      <c r="H55" s="6"/>
      <c r="I55" s="6"/>
      <c r="J55" s="6"/>
      <c r="K55" s="6"/>
      <c r="L55" s="6"/>
      <c r="M55" s="6"/>
      <c r="N55" s="150"/>
    </row>
    <row r="56" spans="1:14" s="8" customFormat="1" ht="9" customHeight="1" x14ac:dyDescent="0.35">
      <c r="K56" s="195"/>
      <c r="L56" s="195"/>
    </row>
    <row r="57" spans="1:14" ht="15.5" x14ac:dyDescent="0.35">
      <c r="A57" s="11" t="s">
        <v>131</v>
      </c>
      <c r="D57" s="241"/>
    </row>
    <row r="58" spans="1:14" ht="9" customHeight="1" x14ac:dyDescent="0.35">
      <c r="D58" s="241"/>
    </row>
    <row r="59" spans="1:14" ht="15.5" x14ac:dyDescent="0.35">
      <c r="A59" s="11" t="s">
        <v>132</v>
      </c>
      <c r="D59" s="39" t="s">
        <v>36</v>
      </c>
      <c r="E59" s="39" t="s">
        <v>37</v>
      </c>
      <c r="F59" s="39" t="s">
        <v>40</v>
      </c>
      <c r="G59" s="39" t="s">
        <v>39</v>
      </c>
      <c r="H59" s="39" t="s">
        <v>266</v>
      </c>
      <c r="I59" s="39" t="s">
        <v>267</v>
      </c>
      <c r="J59" s="39" t="s">
        <v>268</v>
      </c>
      <c r="K59" s="39" t="s">
        <v>269</v>
      </c>
      <c r="L59" s="39" t="s">
        <v>270</v>
      </c>
    </row>
    <row r="60" spans="1:14" s="33" customFormat="1" ht="13" x14ac:dyDescent="0.3">
      <c r="D60" s="63"/>
      <c r="E60" s="63"/>
      <c r="F60" s="63"/>
      <c r="G60" s="63"/>
      <c r="H60" s="63"/>
      <c r="I60" s="63"/>
      <c r="J60" s="63"/>
      <c r="K60" s="63"/>
      <c r="L60" s="63"/>
    </row>
    <row r="61" spans="1:14" s="33" customFormat="1" x14ac:dyDescent="0.35">
      <c r="A61" s="33" t="str">
        <f>B7</f>
        <v>OCM Dep</v>
      </c>
      <c r="B61" s="33" t="str">
        <f>'LDD forecasts'!$A$105</f>
        <v>Assets pre 31/3/2018</v>
      </c>
      <c r="C61" s="33" t="s">
        <v>128</v>
      </c>
      <c r="D61" s="353">
        <f>-'LDD forecasts'!F109</f>
        <v>304.94781793652629</v>
      </c>
      <c r="E61" s="353">
        <f>-'LDD forecasts'!G109</f>
        <v>334.53868102664933</v>
      </c>
      <c r="F61" s="353">
        <f>-'LDD forecasts'!H109</f>
        <v>349.15926451120873</v>
      </c>
      <c r="G61" s="353">
        <f>-'LDD forecasts'!I109</f>
        <v>357.73996809488131</v>
      </c>
      <c r="H61" s="353">
        <f>-'LDD forecasts'!J109</f>
        <v>364.122579208361</v>
      </c>
      <c r="I61" s="353">
        <f>-'LDD forecasts'!K109</f>
        <v>368.00859189111259</v>
      </c>
      <c r="J61" s="353">
        <f>-'LDD forecasts'!L109</f>
        <v>352.78748768054902</v>
      </c>
      <c r="K61" s="353">
        <f>-'LDD forecasts'!M109</f>
        <v>327.14826468168087</v>
      </c>
      <c r="L61" s="353">
        <f>-'LDD forecasts'!N109</f>
        <v>331.01197898603101</v>
      </c>
    </row>
    <row r="62" spans="1:14" s="33" customFormat="1" x14ac:dyDescent="0.35">
      <c r="B62" s="33" t="str">
        <f>'LDD forecasts'!$A$111</f>
        <v>Assets post 31/3/2018</v>
      </c>
      <c r="C62" s="33" t="s">
        <v>67</v>
      </c>
      <c r="D62" s="353">
        <f>-'LDD forecasts'!F114</f>
        <v>53.553597043285116</v>
      </c>
      <c r="E62" s="353">
        <f>-'LDD forecasts'!G114</f>
        <v>62.026473736677715</v>
      </c>
      <c r="F62" s="353">
        <f>-'LDD forecasts'!H114</f>
        <v>77.872029510823523</v>
      </c>
      <c r="G62" s="353">
        <f>-'LDD forecasts'!I114</f>
        <v>93.418590060191192</v>
      </c>
      <c r="H62" s="353">
        <f>-'LDD forecasts'!J114</f>
        <v>108.59728564398867</v>
      </c>
      <c r="I62" s="353">
        <f>-'LDD forecasts'!K114</f>
        <v>120.8692495407925</v>
      </c>
      <c r="J62" s="353">
        <f>-'LDD forecasts'!L114</f>
        <v>130.19528988313257</v>
      </c>
      <c r="K62" s="353">
        <f>-'LDD forecasts'!M114</f>
        <v>138.72779619457731</v>
      </c>
      <c r="L62" s="353">
        <f>-'LDD forecasts'!N114</f>
        <v>147.43915563669921</v>
      </c>
    </row>
    <row r="63" spans="1:14" s="8" customFormat="1" ht="15.5" x14ac:dyDescent="0.35">
      <c r="A63" s="11"/>
      <c r="K63" s="195"/>
      <c r="L63" s="195"/>
    </row>
    <row r="64" spans="1:14" s="33" customFormat="1" x14ac:dyDescent="0.35">
      <c r="A64" s="33" t="str">
        <f>B6</f>
        <v>Pay &amp; non-pay costs</v>
      </c>
      <c r="B64" s="33" t="s">
        <v>1</v>
      </c>
      <c r="D64" s="353">
        <f>D6</f>
        <v>28.580199351361866</v>
      </c>
      <c r="E64" s="61">
        <f t="shared" ref="E64:L64" si="5">D64*(1+E26)*(1-Opex_eff)*(1+Opex_CVE*E54)</f>
        <v>29.441395727316408</v>
      </c>
      <c r="F64" s="61">
        <f t="shared" si="5"/>
        <v>29.358800394841502</v>
      </c>
      <c r="G64" s="61">
        <f t="shared" si="5"/>
        <v>29.349189842570027</v>
      </c>
      <c r="H64" s="61">
        <f t="shared" si="5"/>
        <v>29.190635097224021</v>
      </c>
      <c r="I64" s="61">
        <f t="shared" si="5"/>
        <v>28.982770493455675</v>
      </c>
      <c r="J64" s="61">
        <f t="shared" si="5"/>
        <v>28.741176319633912</v>
      </c>
      <c r="K64" s="61">
        <f t="shared" si="5"/>
        <v>28.489119461059925</v>
      </c>
      <c r="L64" s="61">
        <f t="shared" si="5"/>
        <v>28.187134794772689</v>
      </c>
    </row>
    <row r="65" spans="1:14" s="33" customFormat="1" ht="13" x14ac:dyDescent="0.3">
      <c r="B65" s="33" t="str">
        <f>'LDD forecasts'!$A$105</f>
        <v>Assets pre 31/3/2018</v>
      </c>
      <c r="D65" s="61">
        <f>D64*D61/(D61+D62)</f>
        <v>24.310836901102686</v>
      </c>
      <c r="E65" s="61">
        <f t="shared" ref="E65:J65" si="6">E64*E61/(E61+E62)</f>
        <v>24.836487966468425</v>
      </c>
      <c r="F65" s="61">
        <f t="shared" si="6"/>
        <v>24.00502561825213</v>
      </c>
      <c r="G65" s="61">
        <f t="shared" si="6"/>
        <v>23.272036068265745</v>
      </c>
      <c r="H65" s="61">
        <f t="shared" si="6"/>
        <v>22.484710566693003</v>
      </c>
      <c r="I65" s="61">
        <f t="shared" si="6"/>
        <v>21.817124145287213</v>
      </c>
      <c r="J65" s="61">
        <f t="shared" si="6"/>
        <v>20.993558896518692</v>
      </c>
      <c r="K65" s="61">
        <f t="shared" ref="K65:L65" si="7">K64*K61/(K61+K62)</f>
        <v>20.005676995861776</v>
      </c>
      <c r="L65" s="61">
        <f t="shared" si="7"/>
        <v>19.501007720926111</v>
      </c>
      <c r="N65" s="60" t="s">
        <v>127</v>
      </c>
    </row>
    <row r="66" spans="1:14" s="33" customFormat="1" ht="13" x14ac:dyDescent="0.3">
      <c r="B66" s="33" t="str">
        <f>'LDD forecasts'!$A$111</f>
        <v>Assets post 31/3/2018</v>
      </c>
      <c r="D66" s="59">
        <f>D64-D65</f>
        <v>4.2693624502591803</v>
      </c>
      <c r="E66" s="59">
        <f t="shared" ref="E66:J66" si="8">E64-E65</f>
        <v>4.6049077608479827</v>
      </c>
      <c r="F66" s="59">
        <f t="shared" si="8"/>
        <v>5.353774776589372</v>
      </c>
      <c r="G66" s="59">
        <f t="shared" si="8"/>
        <v>6.0771537743042821</v>
      </c>
      <c r="H66" s="59">
        <f t="shared" si="8"/>
        <v>6.7059245305310178</v>
      </c>
      <c r="I66" s="59">
        <f t="shared" si="8"/>
        <v>7.1656463481684618</v>
      </c>
      <c r="J66" s="59">
        <f t="shared" si="8"/>
        <v>7.7476174231152193</v>
      </c>
      <c r="K66" s="59">
        <f t="shared" ref="K66:L66" si="9">K64-K65</f>
        <v>8.4834424651981486</v>
      </c>
      <c r="L66" s="59">
        <f t="shared" si="9"/>
        <v>8.6861270738465777</v>
      </c>
      <c r="N66" s="60" t="s">
        <v>127</v>
      </c>
    </row>
    <row r="67" spans="1:14" s="33" customFormat="1" ht="13" x14ac:dyDescent="0.3">
      <c r="D67" s="63"/>
      <c r="E67" s="63"/>
      <c r="F67" s="63"/>
      <c r="G67" s="63"/>
      <c r="H67" s="63"/>
      <c r="I67" s="63"/>
      <c r="J67" s="63"/>
      <c r="K67" s="63"/>
      <c r="L67" s="63"/>
    </row>
    <row r="68" spans="1:14" s="33" customFormat="1" ht="13" x14ac:dyDescent="0.3">
      <c r="A68" s="33" t="str">
        <f>B8</f>
        <v>HG/L</v>
      </c>
      <c r="D68" s="63"/>
      <c r="E68" s="63"/>
      <c r="F68" s="63"/>
      <c r="G68" s="63"/>
      <c r="H68" s="63"/>
      <c r="I68" s="63"/>
      <c r="J68" s="63"/>
      <c r="K68" s="63"/>
      <c r="L68" s="63"/>
      <c r="N68" s="196"/>
    </row>
    <row r="69" spans="1:14" s="33" customFormat="1" ht="13" x14ac:dyDescent="0.3">
      <c r="B69" s="33" t="str">
        <f>'LDD forecasts'!$A$105</f>
        <v>Assets pre 31/3/2018</v>
      </c>
      <c r="D69" s="59">
        <f>-'LDD forecasts'!F79</f>
        <v>-645.32698816218544</v>
      </c>
      <c r="E69" s="59">
        <f>-'LDD forecasts'!G79</f>
        <v>-390.71472183129197</v>
      </c>
      <c r="F69" s="59">
        <f>-'LDD forecasts'!H79</f>
        <v>-177.19769064789097</v>
      </c>
      <c r="G69" s="59">
        <f>-'LDD forecasts'!I79</f>
        <v>-177.85190077109542</v>
      </c>
      <c r="H69" s="59">
        <f>-'LDD forecasts'!J79</f>
        <v>-98.572965849229661</v>
      </c>
      <c r="I69" s="59">
        <f>-'LDD forecasts'!K79</f>
        <v>-93.261973582047034</v>
      </c>
      <c r="J69" s="59">
        <f>-'LDD forecasts'!L79</f>
        <v>-87.767041215865717</v>
      </c>
      <c r="K69" s="59">
        <f>-'LDD forecasts'!M79</f>
        <v>-82.466632286572064</v>
      </c>
      <c r="L69" s="59">
        <f>-'LDD forecasts'!N79</f>
        <v>-77.572999638669884</v>
      </c>
    </row>
    <row r="70" spans="1:14" s="33" customFormat="1" ht="13" x14ac:dyDescent="0.3">
      <c r="B70" s="33" t="str">
        <f>'LDD forecasts'!$A$111</f>
        <v>Assets post 31/3/2018</v>
      </c>
      <c r="D70" s="59">
        <f>-'LDD forecasts'!F98</f>
        <v>-280.68910475814243</v>
      </c>
      <c r="E70" s="59">
        <f>-'LDD forecasts'!G98</f>
        <v>-210.58286448082308</v>
      </c>
      <c r="F70" s="59">
        <f>-'LDD forecasts'!H98</f>
        <v>-116.01629555944153</v>
      </c>
      <c r="G70" s="59">
        <f>-'LDD forecasts'!I98</f>
        <v>-139.3269135047465</v>
      </c>
      <c r="H70" s="59">
        <f>-'LDD forecasts'!J98</f>
        <v>-90.961516755960318</v>
      </c>
      <c r="I70" s="59">
        <f>-'LDD forecasts'!K98</f>
        <v>-98.608815781307911</v>
      </c>
      <c r="J70" s="59">
        <f>-'LDD forecasts'!L98</f>
        <v>-103.6358093647513</v>
      </c>
      <c r="K70" s="59">
        <f>-'LDD forecasts'!M98</f>
        <v>-107.80054095341899</v>
      </c>
      <c r="L70" s="59">
        <f>-'LDD forecasts'!N98</f>
        <v>-111.88441447689709</v>
      </c>
    </row>
    <row r="71" spans="1:14" s="8" customFormat="1" x14ac:dyDescent="0.35">
      <c r="B71" s="33"/>
      <c r="D71" s="64"/>
      <c r="E71" s="64"/>
      <c r="F71" s="64"/>
      <c r="G71" s="64"/>
      <c r="H71" s="64"/>
      <c r="I71" s="64"/>
      <c r="J71" s="64"/>
      <c r="K71" s="64"/>
      <c r="L71" s="64"/>
    </row>
    <row r="72" spans="1:14" s="33" customFormat="1" ht="13" x14ac:dyDescent="0.3">
      <c r="A72" s="33" t="str">
        <f>B9</f>
        <v>Other CCA</v>
      </c>
      <c r="B72" s="33" t="s">
        <v>1</v>
      </c>
      <c r="D72" s="270">
        <f>D9</f>
        <v>19.700000000000003</v>
      </c>
      <c r="E72" s="59">
        <f>D72*(1+E54)</f>
        <v>19.833232959896129</v>
      </c>
      <c r="F72" s="59">
        <f t="shared" ref="F72:L72" si="10">E72*(1+F54)</f>
        <v>19.97546894081561</v>
      </c>
      <c r="G72" s="59">
        <f t="shared" si="10"/>
        <v>20.099897165161963</v>
      </c>
      <c r="H72" s="59">
        <f t="shared" si="10"/>
        <v>20.195068702661928</v>
      </c>
      <c r="I72" s="59">
        <f t="shared" si="10"/>
        <v>20.261207155341779</v>
      </c>
      <c r="J72" s="59">
        <f t="shared" si="10"/>
        <v>20.307581483319183</v>
      </c>
      <c r="K72" s="59">
        <f t="shared" si="10"/>
        <v>20.35375833128067</v>
      </c>
      <c r="L72" s="59">
        <f t="shared" si="10"/>
        <v>20.35375833128067</v>
      </c>
      <c r="N72" s="213" t="s">
        <v>322</v>
      </c>
    </row>
    <row r="73" spans="1:14" s="33" customFormat="1" ht="13" x14ac:dyDescent="0.3">
      <c r="B73" s="33" t="str">
        <f>'LDD forecasts'!$A$105</f>
        <v>Assets pre 31/3/2018</v>
      </c>
      <c r="D73" s="59">
        <f>D72*D61/(D61+D62)</f>
        <v>16.757177970100543</v>
      </c>
      <c r="E73" s="59">
        <f t="shared" ref="E73:L73" si="11">E72*E61/(E61+E62)</f>
        <v>16.731131102170906</v>
      </c>
      <c r="F73" s="59">
        <f t="shared" si="11"/>
        <v>16.332807785468347</v>
      </c>
      <c r="G73" s="59">
        <f t="shared" si="11"/>
        <v>15.937936764360124</v>
      </c>
      <c r="H73" s="59">
        <f t="shared" si="11"/>
        <v>15.555683291625815</v>
      </c>
      <c r="I73" s="59">
        <f t="shared" si="11"/>
        <v>15.251863928649827</v>
      </c>
      <c r="J73" s="59">
        <f t="shared" si="11"/>
        <v>14.833366706173285</v>
      </c>
      <c r="K73" s="59">
        <f t="shared" si="11"/>
        <v>14.292850131222774</v>
      </c>
      <c r="L73" s="59">
        <f t="shared" si="11"/>
        <v>14.08155888344413</v>
      </c>
      <c r="N73" s="213" t="s">
        <v>127</v>
      </c>
    </row>
    <row r="74" spans="1:14" s="33" customFormat="1" ht="13" x14ac:dyDescent="0.3">
      <c r="B74" s="33" t="str">
        <f>'LDD forecasts'!$A$111</f>
        <v>Assets post 31/3/2018</v>
      </c>
      <c r="D74" s="59">
        <f>D72-D73</f>
        <v>2.9428220298994603</v>
      </c>
      <c r="E74" s="59">
        <f t="shared" ref="E74:L74" si="12">E72-E73</f>
        <v>3.1021018577252235</v>
      </c>
      <c r="F74" s="59">
        <f t="shared" si="12"/>
        <v>3.6426611553472625</v>
      </c>
      <c r="G74" s="59">
        <f t="shared" si="12"/>
        <v>4.1619604008018385</v>
      </c>
      <c r="H74" s="59">
        <f t="shared" si="12"/>
        <v>4.6393854110361126</v>
      </c>
      <c r="I74" s="59">
        <f t="shared" si="12"/>
        <v>5.0093432266919518</v>
      </c>
      <c r="J74" s="59">
        <f t="shared" si="12"/>
        <v>5.4742147771458978</v>
      </c>
      <c r="K74" s="59">
        <f t="shared" si="12"/>
        <v>6.0609082000578951</v>
      </c>
      <c r="L74" s="59">
        <f t="shared" si="12"/>
        <v>6.2721994478365399</v>
      </c>
      <c r="N74" s="60"/>
    </row>
    <row r="75" spans="1:14" s="33" customFormat="1" ht="13" x14ac:dyDescent="0.3">
      <c r="D75" s="58"/>
      <c r="E75" s="58"/>
      <c r="F75" s="58"/>
      <c r="G75" s="58"/>
      <c r="H75" s="58"/>
      <c r="I75" s="58"/>
      <c r="J75" s="58"/>
      <c r="K75" s="58"/>
      <c r="L75" s="58"/>
    </row>
    <row r="76" spans="1:14" s="33" customFormat="1" ht="13" x14ac:dyDescent="0.3">
      <c r="A76" s="33" t="str">
        <f>B10</f>
        <v>Other Dep</v>
      </c>
      <c r="B76" s="33" t="s">
        <v>1</v>
      </c>
      <c r="D76" s="59">
        <f>D10</f>
        <v>0</v>
      </c>
      <c r="E76" s="59">
        <f>D76*(1+E54)</f>
        <v>0</v>
      </c>
      <c r="F76" s="59">
        <f t="shared" ref="F76:J76" si="13">E76*(1+F54)</f>
        <v>0</v>
      </c>
      <c r="G76" s="59">
        <f t="shared" si="13"/>
        <v>0</v>
      </c>
      <c r="H76" s="59">
        <f t="shared" si="13"/>
        <v>0</v>
      </c>
      <c r="I76" s="59">
        <f t="shared" si="13"/>
        <v>0</v>
      </c>
      <c r="J76" s="59">
        <f t="shared" si="13"/>
        <v>0</v>
      </c>
      <c r="K76" s="59">
        <f t="shared" ref="K76" si="14">J76*(1+K54)</f>
        <v>0</v>
      </c>
      <c r="L76" s="59">
        <f t="shared" ref="L76" si="15">K76*(1+L54)</f>
        <v>0</v>
      </c>
      <c r="N76" s="213"/>
    </row>
    <row r="77" spans="1:14" s="33" customFormat="1" ht="13" x14ac:dyDescent="0.3">
      <c r="B77" s="33" t="str">
        <f>'LDD forecasts'!$A$105</f>
        <v>Assets pre 31/3/2018</v>
      </c>
      <c r="D77" s="270">
        <f>D76*D61/(D61+D62)</f>
        <v>0</v>
      </c>
      <c r="E77" s="270">
        <f t="shared" ref="E77:J77" si="16">E76*E61/(E61+E62)</f>
        <v>0</v>
      </c>
      <c r="F77" s="270">
        <f t="shared" si="16"/>
        <v>0</v>
      </c>
      <c r="G77" s="270">
        <f t="shared" si="16"/>
        <v>0</v>
      </c>
      <c r="H77" s="270">
        <f t="shared" si="16"/>
        <v>0</v>
      </c>
      <c r="I77" s="270">
        <f t="shared" si="16"/>
        <v>0</v>
      </c>
      <c r="J77" s="270">
        <f t="shared" si="16"/>
        <v>0</v>
      </c>
      <c r="K77" s="270">
        <f t="shared" ref="K77:L77" si="17">K76*K61/(K61+K62)</f>
        <v>0</v>
      </c>
      <c r="L77" s="270">
        <f t="shared" si="17"/>
        <v>0</v>
      </c>
      <c r="N77" s="213"/>
    </row>
    <row r="78" spans="1:14" s="33" customFormat="1" ht="13" x14ac:dyDescent="0.3">
      <c r="B78" s="33" t="str">
        <f>'LDD forecasts'!$A$111</f>
        <v>Assets post 31/3/2018</v>
      </c>
      <c r="D78" s="270">
        <f>D76-D77</f>
        <v>0</v>
      </c>
      <c r="E78" s="270">
        <f t="shared" ref="E78:J78" si="18">E76-E77</f>
        <v>0</v>
      </c>
      <c r="F78" s="270">
        <f t="shared" si="18"/>
        <v>0</v>
      </c>
      <c r="G78" s="270">
        <f t="shared" si="18"/>
        <v>0</v>
      </c>
      <c r="H78" s="270">
        <f t="shared" si="18"/>
        <v>0</v>
      </c>
      <c r="I78" s="270">
        <f t="shared" si="18"/>
        <v>0</v>
      </c>
      <c r="J78" s="270">
        <f t="shared" si="18"/>
        <v>0</v>
      </c>
      <c r="K78" s="270">
        <f t="shared" ref="K78:L78" si="19">K76-K77</f>
        <v>0</v>
      </c>
      <c r="L78" s="270">
        <f t="shared" si="19"/>
        <v>0</v>
      </c>
      <c r="N78" s="213"/>
    </row>
    <row r="79" spans="1:14" s="33" customFormat="1" ht="13" x14ac:dyDescent="0.3">
      <c r="D79" s="58"/>
      <c r="E79" s="58"/>
      <c r="F79" s="58"/>
      <c r="G79" s="58"/>
      <c r="H79" s="58"/>
      <c r="I79" s="58"/>
      <c r="J79" s="58"/>
      <c r="K79" s="58"/>
      <c r="L79" s="58"/>
    </row>
    <row r="80" spans="1:14" s="33" customFormat="1" ht="13" x14ac:dyDescent="0.3">
      <c r="A80" s="33" t="str">
        <f>B11</f>
        <v>Total CCA Costs</v>
      </c>
      <c r="D80" s="59">
        <f>SUM(D65:D66,D61:D62,D69:D70,D73:D74,D77:D78)</f>
        <v>-519.23447858915461</v>
      </c>
      <c r="E80" s="59">
        <f t="shared" ref="E80:L80" si="20">SUM(E65:E66,E61:E62,E69:E70,E73:E74,E77:E78)</f>
        <v>-155.45780286157546</v>
      </c>
      <c r="F80" s="59">
        <f t="shared" si="20"/>
        <v>183.15157715035693</v>
      </c>
      <c r="G80" s="59">
        <f t="shared" si="20"/>
        <v>183.42883088696257</v>
      </c>
      <c r="H80" s="59">
        <f t="shared" si="20"/>
        <v>332.5710860470457</v>
      </c>
      <c r="I80" s="59">
        <f t="shared" si="20"/>
        <v>346.25102971734759</v>
      </c>
      <c r="J80" s="59">
        <f t="shared" si="20"/>
        <v>340.62868478601769</v>
      </c>
      <c r="K80" s="59">
        <f t="shared" si="20"/>
        <v>324.45176542860776</v>
      </c>
      <c r="L80" s="59">
        <f t="shared" si="20"/>
        <v>337.53461363321662</v>
      </c>
    </row>
    <row r="81" spans="1:14" s="33" customFormat="1" ht="13" x14ac:dyDescent="0.3">
      <c r="B81" s="33" t="str">
        <f>'LDD forecasts'!$A$105</f>
        <v>Assets pre 31/3/2018</v>
      </c>
      <c r="D81" s="59">
        <f>SUM(D65,D61,D69,D73,D77)</f>
        <v>-299.31115535445593</v>
      </c>
      <c r="E81" s="59">
        <f t="shared" ref="E81:J81" si="21">SUM(E65,E61,E69,E73,E77)</f>
        <v>-14.608421736003294</v>
      </c>
      <c r="F81" s="59">
        <f t="shared" si="21"/>
        <v>212.29940726703825</v>
      </c>
      <c r="G81" s="59">
        <f t="shared" si="21"/>
        <v>219.09804015641174</v>
      </c>
      <c r="H81" s="59">
        <f t="shared" si="21"/>
        <v>303.59000721745019</v>
      </c>
      <c r="I81" s="59">
        <f t="shared" si="21"/>
        <v>311.8156063830026</v>
      </c>
      <c r="J81" s="59">
        <f t="shared" si="21"/>
        <v>300.84737206737532</v>
      </c>
      <c r="K81" s="59">
        <f t="shared" ref="K81:L81" si="22">SUM(K65,K61,K69,K73,K77)</f>
        <v>278.98015952219339</v>
      </c>
      <c r="L81" s="59">
        <f t="shared" si="22"/>
        <v>287.02154595173135</v>
      </c>
    </row>
    <row r="82" spans="1:14" s="33" customFormat="1" ht="13" x14ac:dyDescent="0.3">
      <c r="B82" s="33" t="str">
        <f>'LDD forecasts'!$A$111</f>
        <v>Assets post 31/3/2018</v>
      </c>
      <c r="D82" s="59">
        <f>SUM(D66,D62,D70,D74,D78)</f>
        <v>-219.92332323469867</v>
      </c>
      <c r="E82" s="59">
        <f t="shared" ref="E82:J82" si="23">SUM(E66,E62,E70,E74,E78)</f>
        <v>-140.84938112557217</v>
      </c>
      <c r="F82" s="59">
        <f t="shared" si="23"/>
        <v>-29.147830116681369</v>
      </c>
      <c r="G82" s="59">
        <f t="shared" si="23"/>
        <v>-35.66920926944919</v>
      </c>
      <c r="H82" s="59">
        <f t="shared" si="23"/>
        <v>28.981078829595486</v>
      </c>
      <c r="I82" s="59">
        <f t="shared" si="23"/>
        <v>34.435423334345003</v>
      </c>
      <c r="J82" s="59">
        <f t="shared" si="23"/>
        <v>39.781312718642404</v>
      </c>
      <c r="K82" s="59">
        <f t="shared" ref="K82:L82" si="24">SUM(K66,K62,K70,K74,K78)</f>
        <v>45.471605906414368</v>
      </c>
      <c r="L82" s="59">
        <f t="shared" si="24"/>
        <v>50.513067681485225</v>
      </c>
    </row>
    <row r="83" spans="1:14" s="33" customFormat="1" x14ac:dyDescent="0.35">
      <c r="B83" s="60" t="s">
        <v>38</v>
      </c>
      <c r="D83" s="352" t="b">
        <f>IF(ABS(D80-D81-D82)&lt;0.00001,TRUE,FALSE)</f>
        <v>1</v>
      </c>
      <c r="E83" s="352" t="b">
        <f t="shared" ref="E83:L83" si="25">IF(ABS(E80-E81-E82)&lt;0.00001,TRUE,FALSE)</f>
        <v>1</v>
      </c>
      <c r="F83" s="352" t="b">
        <f t="shared" si="25"/>
        <v>1</v>
      </c>
      <c r="G83" s="352" t="b">
        <f t="shared" si="25"/>
        <v>1</v>
      </c>
      <c r="H83" s="352" t="b">
        <f t="shared" si="25"/>
        <v>1</v>
      </c>
      <c r="I83" s="352" t="b">
        <f t="shared" si="25"/>
        <v>1</v>
      </c>
      <c r="J83" s="352" t="b">
        <f t="shared" si="25"/>
        <v>1</v>
      </c>
      <c r="K83" s="352" t="b">
        <f t="shared" si="25"/>
        <v>1</v>
      </c>
      <c r="L83" s="352" t="b">
        <f t="shared" si="25"/>
        <v>1</v>
      </c>
    </row>
    <row r="84" spans="1:14" s="8" customFormat="1" x14ac:dyDescent="0.35">
      <c r="D84" s="59"/>
      <c r="E84" s="59"/>
      <c r="F84" s="59"/>
      <c r="G84" s="59"/>
      <c r="H84" s="59"/>
      <c r="I84" s="59"/>
      <c r="J84" s="59"/>
      <c r="K84" s="59"/>
      <c r="L84" s="59"/>
    </row>
    <row r="85" spans="1:14" s="8" customFormat="1" ht="15.5" x14ac:dyDescent="0.35">
      <c r="A85" s="11" t="s">
        <v>133</v>
      </c>
      <c r="D85" s="39" t="s">
        <v>36</v>
      </c>
      <c r="E85" s="39" t="s">
        <v>37</v>
      </c>
      <c r="F85" s="39" t="s">
        <v>40</v>
      </c>
      <c r="G85" s="39" t="s">
        <v>39</v>
      </c>
      <c r="H85" s="39" t="s">
        <v>266</v>
      </c>
      <c r="I85" s="39" t="s">
        <v>267</v>
      </c>
      <c r="J85" s="39" t="s">
        <v>268</v>
      </c>
      <c r="K85" s="39" t="s">
        <v>269</v>
      </c>
      <c r="L85" s="39" t="s">
        <v>270</v>
      </c>
    </row>
    <row r="86" spans="1:14" s="33" customFormat="1" ht="13" x14ac:dyDescent="0.3">
      <c r="A86" s="33" t="str">
        <f>B14</f>
        <v>NRC (main COW)</v>
      </c>
      <c r="D86" s="59"/>
      <c r="E86" s="58"/>
      <c r="F86" s="58"/>
      <c r="G86" s="58"/>
      <c r="H86" s="58"/>
      <c r="I86" s="58"/>
      <c r="J86" s="58"/>
      <c r="K86" s="58"/>
      <c r="L86" s="58"/>
      <c r="N86" s="130"/>
    </row>
    <row r="87" spans="1:14" s="33" customFormat="1" ht="13" x14ac:dyDescent="0.3">
      <c r="B87" s="33" t="str">
        <f>'LDD forecasts'!$A$105</f>
        <v>Assets pre 31/3/2018</v>
      </c>
      <c r="C87" s="33" t="s">
        <v>68</v>
      </c>
      <c r="D87" s="61">
        <f>'LDD forecasts'!F107</f>
        <v>5059.3191374589551</v>
      </c>
      <c r="E87" s="61">
        <f>'LDD forecasts'!G107</f>
        <v>5252.4099132462652</v>
      </c>
      <c r="F87" s="61">
        <f>'LDD forecasts'!H107</f>
        <v>5194.5171467169275</v>
      </c>
      <c r="G87" s="61">
        <f>'LDD forecasts'!I107</f>
        <v>5018.5923261233766</v>
      </c>
      <c r="H87" s="61">
        <f>'LDD forecasts'!J107</f>
        <v>4795.8734857819172</v>
      </c>
      <c r="I87" s="61">
        <f>'LDD forecasts'!K107</f>
        <v>4525.7253699478188</v>
      </c>
      <c r="J87" s="61">
        <f>'LDD forecasts'!L107</f>
        <v>4255.8418375609444</v>
      </c>
      <c r="K87" s="61">
        <f>'LDD forecasts'!M107</f>
        <v>4000.9907981310489</v>
      </c>
      <c r="L87" s="61">
        <f>'LDD forecasts'!N107</f>
        <v>3751.9304922598139</v>
      </c>
    </row>
    <row r="88" spans="1:14" s="33" customFormat="1" ht="13" x14ac:dyDescent="0.3">
      <c r="B88" s="33" t="str">
        <f>'LDD forecasts'!$A$111</f>
        <v>Assets post 31/3/2018</v>
      </c>
      <c r="C88" s="33" t="str">
        <f>C87</f>
        <v>Final LDD forecasts</v>
      </c>
      <c r="D88" s="59">
        <f>'LDD forecasts'!F113</f>
        <v>2200.6857131002062</v>
      </c>
      <c r="E88" s="59">
        <f>'LDD forecasts'!G113</f>
        <v>2890.0222861206985</v>
      </c>
      <c r="F88" s="59">
        <f>'LDD forecasts'!H113</f>
        <v>3476.3621616428977</v>
      </c>
      <c r="G88" s="59">
        <f>'LDD forecasts'!I113</f>
        <v>4024.9164710918144</v>
      </c>
      <c r="H88" s="59">
        <f>'LDD forecasts'!J113</f>
        <v>4539.2579533540011</v>
      </c>
      <c r="I88" s="59">
        <f>'LDD forecasts'!K113</f>
        <v>4919.3105721856537</v>
      </c>
      <c r="J88" s="59">
        <f>'LDD forecasts'!L113</f>
        <v>5168.5107279783733</v>
      </c>
      <c r="K88" s="59">
        <f>'LDD forecasts'!M113</f>
        <v>5374.56342005037</v>
      </c>
      <c r="L88" s="59">
        <f>'LDD forecasts'!N113</f>
        <v>5576.4433532649537</v>
      </c>
    </row>
    <row r="89" spans="1:14" s="33" customFormat="1" ht="13" x14ac:dyDescent="0.3">
      <c r="E89" s="54"/>
      <c r="F89" s="54"/>
      <c r="G89" s="54"/>
      <c r="H89" s="54"/>
      <c r="I89" s="54"/>
      <c r="J89" s="54"/>
      <c r="K89" s="54"/>
      <c r="L89" s="54"/>
    </row>
    <row r="90" spans="1:14" s="33" customFormat="1" ht="13" x14ac:dyDescent="0.3">
      <c r="A90" s="33" t="str">
        <f>B15</f>
        <v>Other COWs</v>
      </c>
      <c r="D90" s="59">
        <f>D15</f>
        <v>-185.19999999999996</v>
      </c>
      <c r="E90" s="59">
        <f>$D90</f>
        <v>-185.19999999999996</v>
      </c>
      <c r="F90" s="59">
        <f t="shared" ref="F90:L90" si="26">$D90</f>
        <v>-185.19999999999996</v>
      </c>
      <c r="G90" s="59">
        <f t="shared" si="26"/>
        <v>-185.19999999999996</v>
      </c>
      <c r="H90" s="59">
        <f t="shared" si="26"/>
        <v>-185.19999999999996</v>
      </c>
      <c r="I90" s="59">
        <f t="shared" si="26"/>
        <v>-185.19999999999996</v>
      </c>
      <c r="J90" s="59">
        <f t="shared" si="26"/>
        <v>-185.19999999999996</v>
      </c>
      <c r="K90" s="59">
        <f t="shared" si="26"/>
        <v>-185.19999999999996</v>
      </c>
      <c r="L90" s="59">
        <f t="shared" si="26"/>
        <v>-185.19999999999996</v>
      </c>
      <c r="M90" s="59"/>
      <c r="N90" s="60" t="s">
        <v>83</v>
      </c>
    </row>
    <row r="91" spans="1:14" s="33" customFormat="1" ht="13" x14ac:dyDescent="0.3">
      <c r="B91" s="33" t="str">
        <f>'LDD forecasts'!$A$105</f>
        <v>Assets pre 31/3/2018</v>
      </c>
      <c r="D91" s="59">
        <f>D90*D87/(D87+D88)</f>
        <v>-129.06133309060149</v>
      </c>
      <c r="E91" s="59">
        <f t="shared" ref="E91:J91" si="27">E90*E87/(E87+E88)</f>
        <v>-119.46630836039809</v>
      </c>
      <c r="F91" s="59">
        <f t="shared" si="27"/>
        <v>-110.9489062596525</v>
      </c>
      <c r="G91" s="59">
        <f t="shared" si="27"/>
        <v>-102.77463312517116</v>
      </c>
      <c r="H91" s="59">
        <f t="shared" si="27"/>
        <v>-95.145502273616017</v>
      </c>
      <c r="I91" s="59">
        <f t="shared" si="27"/>
        <v>-88.741254522426814</v>
      </c>
      <c r="J91" s="59">
        <f t="shared" si="27"/>
        <v>-83.632472664310001</v>
      </c>
      <c r="K91" s="59">
        <f t="shared" ref="K91:L91" si="28">K90*K87/(K87+K88)</f>
        <v>-79.033567357215816</v>
      </c>
      <c r="L91" s="59">
        <f t="shared" si="28"/>
        <v>-74.488602051457363</v>
      </c>
      <c r="M91" s="59"/>
      <c r="N91" s="60" t="s">
        <v>126</v>
      </c>
    </row>
    <row r="92" spans="1:14" s="33" customFormat="1" ht="13" x14ac:dyDescent="0.3">
      <c r="B92" s="33" t="str">
        <f>'LDD forecasts'!$A$111</f>
        <v>Assets post 31/3/2018</v>
      </c>
      <c r="D92" s="59">
        <f>D90-D91</f>
        <v>-56.138666909398466</v>
      </c>
      <c r="E92" s="59">
        <f t="shared" ref="E92:J92" si="29">E90-E91</f>
        <v>-65.733691639601872</v>
      </c>
      <c r="F92" s="59">
        <f t="shared" si="29"/>
        <v>-74.251093740347457</v>
      </c>
      <c r="G92" s="59">
        <f t="shared" si="29"/>
        <v>-82.425366874828796</v>
      </c>
      <c r="H92" s="59">
        <f t="shared" si="29"/>
        <v>-90.054497726383943</v>
      </c>
      <c r="I92" s="59">
        <f t="shared" si="29"/>
        <v>-96.458745477573146</v>
      </c>
      <c r="J92" s="59">
        <f t="shared" si="29"/>
        <v>-101.56752733568996</v>
      </c>
      <c r="K92" s="59">
        <f t="shared" ref="K92:L92" si="30">K90-K91</f>
        <v>-106.16643264278414</v>
      </c>
      <c r="L92" s="59">
        <f t="shared" si="30"/>
        <v>-110.7113979485426</v>
      </c>
      <c r="M92" s="59"/>
      <c r="N92" s="60" t="s">
        <v>126</v>
      </c>
    </row>
    <row r="93" spans="1:14" s="33" customFormat="1" ht="13" x14ac:dyDescent="0.3">
      <c r="D93" s="58"/>
      <c r="E93" s="58"/>
      <c r="F93" s="58"/>
      <c r="G93" s="58"/>
      <c r="H93" s="58"/>
      <c r="I93" s="58"/>
      <c r="J93" s="58"/>
      <c r="K93" s="58"/>
      <c r="L93" s="58"/>
      <c r="M93" s="59"/>
    </row>
    <row r="94" spans="1:14" s="33" customFormat="1" ht="13" x14ac:dyDescent="0.3">
      <c r="A94" s="33" t="str">
        <f>B16</f>
        <v>Other non COW</v>
      </c>
      <c r="D94" s="59">
        <f>D16</f>
        <v>0</v>
      </c>
      <c r="E94" s="59">
        <f>D94*(1+E$54)</f>
        <v>0</v>
      </c>
      <c r="F94" s="59">
        <f>E94*(1+F$54)</f>
        <v>0</v>
      </c>
      <c r="G94" s="59">
        <f t="shared" ref="G94:J94" si="31">F94*(1+G$54)</f>
        <v>0</v>
      </c>
      <c r="H94" s="59">
        <f t="shared" si="31"/>
        <v>0</v>
      </c>
      <c r="I94" s="59">
        <f t="shared" si="31"/>
        <v>0</v>
      </c>
      <c r="J94" s="59">
        <f t="shared" si="31"/>
        <v>0</v>
      </c>
      <c r="K94" s="59">
        <f t="shared" ref="K94" si="32">J94*(1+K$54)</f>
        <v>0</v>
      </c>
      <c r="L94" s="59">
        <f t="shared" ref="L94" si="33">K94*(1+L$54)</f>
        <v>0</v>
      </c>
      <c r="M94" s="59"/>
      <c r="N94" s="196"/>
    </row>
    <row r="95" spans="1:14" s="33" customFormat="1" ht="13" x14ac:dyDescent="0.3">
      <c r="B95" s="33" t="str">
        <f>'LDD forecasts'!$A$105</f>
        <v>Assets pre 31/3/2018</v>
      </c>
      <c r="D95" s="59">
        <f>D94*D87/(D87+D88)</f>
        <v>0</v>
      </c>
      <c r="E95" s="59">
        <f t="shared" ref="E95:J95" si="34">E94*E87/(E87+E88)</f>
        <v>0</v>
      </c>
      <c r="F95" s="59">
        <f t="shared" si="34"/>
        <v>0</v>
      </c>
      <c r="G95" s="59">
        <f t="shared" si="34"/>
        <v>0</v>
      </c>
      <c r="H95" s="59">
        <f t="shared" si="34"/>
        <v>0</v>
      </c>
      <c r="I95" s="59">
        <f t="shared" si="34"/>
        <v>0</v>
      </c>
      <c r="J95" s="59">
        <f t="shared" si="34"/>
        <v>0</v>
      </c>
      <c r="K95" s="59">
        <f t="shared" ref="K95:L95" si="35">K94*K87/(K87+K88)</f>
        <v>0</v>
      </c>
      <c r="L95" s="59">
        <f t="shared" si="35"/>
        <v>0</v>
      </c>
      <c r="M95" s="59"/>
      <c r="N95" s="213" t="s">
        <v>126</v>
      </c>
    </row>
    <row r="96" spans="1:14" s="33" customFormat="1" ht="13" x14ac:dyDescent="0.3">
      <c r="B96" s="33" t="str">
        <f>'LDD forecasts'!$A$111</f>
        <v>Assets post 31/3/2018</v>
      </c>
      <c r="D96" s="59">
        <f>D94-D95</f>
        <v>0</v>
      </c>
      <c r="E96" s="59">
        <f t="shared" ref="E96:J96" si="36">E94-E95</f>
        <v>0</v>
      </c>
      <c r="F96" s="59">
        <f t="shared" si="36"/>
        <v>0</v>
      </c>
      <c r="G96" s="59">
        <f t="shared" si="36"/>
        <v>0</v>
      </c>
      <c r="H96" s="59">
        <f t="shared" si="36"/>
        <v>0</v>
      </c>
      <c r="I96" s="59">
        <f t="shared" si="36"/>
        <v>0</v>
      </c>
      <c r="J96" s="59">
        <f t="shared" si="36"/>
        <v>0</v>
      </c>
      <c r="K96" s="59">
        <f t="shared" ref="K96:L96" si="37">K94-K95</f>
        <v>0</v>
      </c>
      <c r="L96" s="59">
        <f t="shared" si="37"/>
        <v>0</v>
      </c>
      <c r="M96" s="59"/>
      <c r="N96" s="213" t="s">
        <v>126</v>
      </c>
    </row>
    <row r="97" spans="1:14" s="33" customFormat="1" ht="13" x14ac:dyDescent="0.3">
      <c r="D97" s="63"/>
      <c r="E97" s="63"/>
      <c r="F97" s="63"/>
      <c r="G97" s="63"/>
      <c r="H97" s="63"/>
      <c r="I97" s="63"/>
      <c r="J97" s="63"/>
      <c r="K97" s="63"/>
      <c r="L97" s="63"/>
    </row>
    <row r="98" spans="1:14" s="196" customFormat="1" ht="13" x14ac:dyDescent="0.3">
      <c r="A98" s="33" t="str">
        <f>B17</f>
        <v>NCA</v>
      </c>
      <c r="B98" s="33"/>
      <c r="C98" s="33"/>
      <c r="D98" s="59">
        <f>D17</f>
        <v>64.7</v>
      </c>
      <c r="E98" s="59">
        <f>D98*(1+E$54)*(1+E$25)</f>
        <v>70.009057719462064</v>
      </c>
      <c r="F98" s="59">
        <f t="shared" ref="F98:L98" si="38">E98*(1+F$54)*(1+F$25)</f>
        <v>72.877276992276606</v>
      </c>
      <c r="G98" s="59">
        <f t="shared" si="38"/>
        <v>75.884234457653903</v>
      </c>
      <c r="H98" s="59">
        <f t="shared" si="38"/>
        <v>77.768411551724228</v>
      </c>
      <c r="I98" s="59">
        <f t="shared" si="38"/>
        <v>79.583563600917117</v>
      </c>
      <c r="J98" s="59">
        <f t="shared" si="38"/>
        <v>81.36103066174401</v>
      </c>
      <c r="K98" s="59">
        <f t="shared" si="38"/>
        <v>83.176955964646737</v>
      </c>
      <c r="L98" s="59">
        <f t="shared" si="38"/>
        <v>84.840495083939672</v>
      </c>
    </row>
    <row r="99" spans="1:14" s="196" customFormat="1" ht="13" x14ac:dyDescent="0.3">
      <c r="A99" s="33"/>
      <c r="B99" s="33" t="str">
        <f>'LDD forecasts'!$A$105</f>
        <v>Assets pre 31/3/2018</v>
      </c>
      <c r="C99" s="33"/>
      <c r="D99" s="59">
        <f>D98*D87/(D87+D88)</f>
        <v>45.087841527872122</v>
      </c>
      <c r="E99" s="59">
        <f t="shared" ref="E99:J99" si="39">E98*E87/(E87+E88)</f>
        <v>45.160495019082958</v>
      </c>
      <c r="F99" s="59">
        <f t="shared" si="39"/>
        <v>43.659039813578993</v>
      </c>
      <c r="G99" s="59">
        <f t="shared" si="39"/>
        <v>42.11109263698625</v>
      </c>
      <c r="H99" s="59">
        <f t="shared" si="39"/>
        <v>39.953102473596566</v>
      </c>
      <c r="I99" s="59">
        <f t="shared" si="39"/>
        <v>38.133613786775001</v>
      </c>
      <c r="J99" s="59">
        <f t="shared" si="39"/>
        <v>36.740951256794787</v>
      </c>
      <c r="K99" s="59">
        <f t="shared" ref="K99:L99" si="40">K98*K87/(K87+K88)</f>
        <v>35.495526737581436</v>
      </c>
      <c r="L99" s="59">
        <f t="shared" si="40"/>
        <v>34.123379460886653</v>
      </c>
      <c r="N99" s="60" t="s">
        <v>126</v>
      </c>
    </row>
    <row r="100" spans="1:14" s="196" customFormat="1" ht="13" x14ac:dyDescent="0.3">
      <c r="A100" s="33"/>
      <c r="B100" s="33" t="str">
        <f>'LDD forecasts'!$A$111</f>
        <v>Assets post 31/3/2018</v>
      </c>
      <c r="C100" s="33"/>
      <c r="D100" s="59">
        <f>D98-D99</f>
        <v>19.612158472127881</v>
      </c>
      <c r="E100" s="59">
        <f t="shared" ref="E100:J100" si="41">E98-E99</f>
        <v>24.848562700379105</v>
      </c>
      <c r="F100" s="59">
        <f t="shared" si="41"/>
        <v>29.218237178697613</v>
      </c>
      <c r="G100" s="59">
        <f t="shared" si="41"/>
        <v>33.773141820667654</v>
      </c>
      <c r="H100" s="59">
        <f t="shared" si="41"/>
        <v>37.815309078127662</v>
      </c>
      <c r="I100" s="59">
        <f t="shared" si="41"/>
        <v>41.449949814142116</v>
      </c>
      <c r="J100" s="59">
        <f t="shared" si="41"/>
        <v>44.620079404949223</v>
      </c>
      <c r="K100" s="59">
        <f t="shared" ref="K100:L100" si="42">K98-K99</f>
        <v>47.681429227065301</v>
      </c>
      <c r="L100" s="59">
        <f t="shared" si="42"/>
        <v>50.717115623053019</v>
      </c>
      <c r="N100" s="60" t="s">
        <v>126</v>
      </c>
    </row>
    <row r="101" spans="1:14" s="33" customFormat="1" ht="13" x14ac:dyDescent="0.3">
      <c r="K101" s="196"/>
      <c r="L101" s="196"/>
      <c r="M101" s="54"/>
    </row>
    <row r="102" spans="1:14" s="33" customFormat="1" ht="13" x14ac:dyDescent="0.3">
      <c r="A102" s="33" t="s">
        <v>5</v>
      </c>
      <c r="D102" s="63">
        <f>D87+D88+D90+D94+D98</f>
        <v>7139.5048505591612</v>
      </c>
      <c r="E102" s="63">
        <f t="shared" ref="E102:J102" si="43">E87+E88+E90+E94+E98</f>
        <v>8027.2412570864262</v>
      </c>
      <c r="F102" s="63">
        <f t="shared" si="43"/>
        <v>8558.5565853521002</v>
      </c>
      <c r="G102" s="63">
        <f t="shared" si="43"/>
        <v>8934.1930316728431</v>
      </c>
      <c r="H102" s="63">
        <f t="shared" si="43"/>
        <v>9227.6998506876425</v>
      </c>
      <c r="I102" s="63">
        <f t="shared" si="43"/>
        <v>9339.4195057343895</v>
      </c>
      <c r="J102" s="63">
        <f t="shared" si="43"/>
        <v>9320.5135962010609</v>
      </c>
      <c r="K102" s="63">
        <f t="shared" ref="K102:L102" si="44">K87+K88+K90+K94+K98</f>
        <v>9273.5311741460664</v>
      </c>
      <c r="L102" s="63">
        <f t="shared" si="44"/>
        <v>9228.0143406087063</v>
      </c>
      <c r="M102" s="54"/>
    </row>
    <row r="103" spans="1:14" s="33" customFormat="1" ht="13" x14ac:dyDescent="0.3">
      <c r="B103" s="196" t="s">
        <v>69</v>
      </c>
      <c r="D103" s="63">
        <f>SUM(D87,D91,D95,D99)</f>
        <v>4975.3456458962255</v>
      </c>
      <c r="E103" s="63">
        <f t="shared" ref="E103:J103" si="45">SUM(E87,E91,E95,E99)</f>
        <v>5178.1040999049501</v>
      </c>
      <c r="F103" s="63">
        <f t="shared" si="45"/>
        <v>5127.227280270854</v>
      </c>
      <c r="G103" s="63">
        <f t="shared" si="45"/>
        <v>4957.9287856351921</v>
      </c>
      <c r="H103" s="63">
        <f t="shared" si="45"/>
        <v>4740.681085981897</v>
      </c>
      <c r="I103" s="63">
        <f t="shared" si="45"/>
        <v>4475.1177292121665</v>
      </c>
      <c r="J103" s="63">
        <f t="shared" si="45"/>
        <v>4208.9503161534294</v>
      </c>
      <c r="K103" s="63">
        <f t="shared" ref="K103:L103" si="46">SUM(K87,K91,K95,K99)</f>
        <v>3957.4527575114143</v>
      </c>
      <c r="L103" s="63">
        <f t="shared" si="46"/>
        <v>3711.5652696692432</v>
      </c>
      <c r="M103" s="61"/>
    </row>
    <row r="104" spans="1:14" s="196" customFormat="1" ht="13" x14ac:dyDescent="0.3">
      <c r="A104" s="33"/>
      <c r="B104" s="196" t="s">
        <v>63</v>
      </c>
      <c r="D104" s="63">
        <f>SUM(D88,D92,D96,D100)</f>
        <v>2164.1592046629353</v>
      </c>
      <c r="E104" s="63">
        <f t="shared" ref="E104:J104" si="47">SUM(E88,E92,E96,E100)</f>
        <v>2849.1371571814757</v>
      </c>
      <c r="F104" s="63">
        <f t="shared" si="47"/>
        <v>3431.3293050812476</v>
      </c>
      <c r="G104" s="63">
        <f t="shared" si="47"/>
        <v>3976.2642460376533</v>
      </c>
      <c r="H104" s="63">
        <f t="shared" si="47"/>
        <v>4487.0187647057455</v>
      </c>
      <c r="I104" s="63">
        <f t="shared" si="47"/>
        <v>4864.301776522223</v>
      </c>
      <c r="J104" s="63">
        <f t="shared" si="47"/>
        <v>5111.5632800476324</v>
      </c>
      <c r="K104" s="63">
        <f t="shared" ref="K104:L104" si="48">SUM(K88,K92,K96,K100)</f>
        <v>5316.0784166346511</v>
      </c>
      <c r="L104" s="63">
        <f t="shared" si="48"/>
        <v>5516.449070939464</v>
      </c>
    </row>
    <row r="105" spans="1:14" s="33" customFormat="1" x14ac:dyDescent="0.35">
      <c r="B105" s="60" t="s">
        <v>38</v>
      </c>
      <c r="D105" s="352" t="b">
        <f>IF(ABS(D102-D103-D104)&lt;0.00001,TRUE,FALSE)</f>
        <v>1</v>
      </c>
      <c r="E105" s="352" t="b">
        <f t="shared" ref="E105:L105" si="49">IF(ABS(E102-E103-E104)&lt;0.00001,TRUE,FALSE)</f>
        <v>1</v>
      </c>
      <c r="F105" s="352" t="b">
        <f t="shared" si="49"/>
        <v>1</v>
      </c>
      <c r="G105" s="352" t="b">
        <f t="shared" si="49"/>
        <v>1</v>
      </c>
      <c r="H105" s="352" t="b">
        <f t="shared" si="49"/>
        <v>1</v>
      </c>
      <c r="I105" s="352" t="b">
        <f t="shared" si="49"/>
        <v>1</v>
      </c>
      <c r="J105" s="352" t="b">
        <f t="shared" si="49"/>
        <v>1</v>
      </c>
      <c r="K105" s="352" t="b">
        <f t="shared" si="49"/>
        <v>1</v>
      </c>
      <c r="L105" s="352" t="b">
        <f t="shared" si="49"/>
        <v>1</v>
      </c>
      <c r="M105" s="71"/>
    </row>
    <row r="106" spans="1:14" s="8" customFormat="1" ht="9" customHeight="1" x14ac:dyDescent="0.35">
      <c r="A106" s="6"/>
      <c r="B106" s="6"/>
      <c r="C106" s="6"/>
      <c r="D106" s="6"/>
      <c r="E106" s="6"/>
      <c r="F106" s="149"/>
      <c r="G106" s="6"/>
      <c r="H106" s="6"/>
      <c r="I106" s="6"/>
      <c r="J106" s="6"/>
      <c r="K106" s="6"/>
      <c r="L106" s="6"/>
      <c r="M106" s="6"/>
      <c r="N106" s="150"/>
    </row>
    <row r="107" spans="1:14" s="8" customFormat="1" ht="9" customHeight="1" x14ac:dyDescent="0.35">
      <c r="K107" s="195"/>
      <c r="L107" s="195"/>
    </row>
    <row r="108" spans="1:14" ht="15.5" x14ac:dyDescent="0.35">
      <c r="A108" s="11" t="s">
        <v>134</v>
      </c>
      <c r="D108" s="39" t="s">
        <v>36</v>
      </c>
      <c r="E108" s="39" t="s">
        <v>37</v>
      </c>
      <c r="F108" s="39" t="s">
        <v>40</v>
      </c>
      <c r="G108" s="39" t="s">
        <v>39</v>
      </c>
      <c r="H108" s="39" t="s">
        <v>266</v>
      </c>
      <c r="I108" s="39" t="s">
        <v>267</v>
      </c>
      <c r="J108" s="39" t="s">
        <v>268</v>
      </c>
      <c r="K108" s="39" t="s">
        <v>269</v>
      </c>
      <c r="L108" s="39" t="s">
        <v>270</v>
      </c>
    </row>
    <row r="109" spans="1:14" ht="9" customHeight="1" x14ac:dyDescent="0.35"/>
    <row r="110" spans="1:14" s="33" customFormat="1" ht="13" x14ac:dyDescent="0.3">
      <c r="B110" s="33" t="str">
        <f>'LDD forecasts'!$A$105</f>
        <v>Assets pre 31/3/2018</v>
      </c>
      <c r="C110" s="33" t="str">
        <f>A80</f>
        <v>Total CCA Costs</v>
      </c>
      <c r="D110" s="61">
        <f>D81</f>
        <v>-299.31115535445593</v>
      </c>
      <c r="E110" s="61">
        <f t="shared" ref="E110:J110" si="50">E81</f>
        <v>-14.608421736003294</v>
      </c>
      <c r="F110" s="61">
        <f t="shared" si="50"/>
        <v>212.29940726703825</v>
      </c>
      <c r="G110" s="61">
        <f t="shared" si="50"/>
        <v>219.09804015641174</v>
      </c>
      <c r="H110" s="61">
        <f t="shared" si="50"/>
        <v>303.59000721745019</v>
      </c>
      <c r="I110" s="61">
        <f t="shared" si="50"/>
        <v>311.8156063830026</v>
      </c>
      <c r="J110" s="61">
        <f t="shared" si="50"/>
        <v>300.84737206737532</v>
      </c>
      <c r="K110" s="61">
        <f t="shared" ref="K110:L110" si="51">K81</f>
        <v>278.98015952219339</v>
      </c>
      <c r="L110" s="61">
        <f t="shared" si="51"/>
        <v>287.02154595173135</v>
      </c>
    </row>
    <row r="111" spans="1:14" s="33" customFormat="1" ht="9" customHeight="1" x14ac:dyDescent="0.3">
      <c r="D111" s="61"/>
      <c r="E111" s="61"/>
      <c r="F111" s="61"/>
      <c r="G111" s="61"/>
      <c r="H111" s="61"/>
      <c r="I111" s="61"/>
      <c r="J111" s="61"/>
      <c r="K111" s="61"/>
      <c r="L111" s="61"/>
    </row>
    <row r="112" spans="1:14" s="33" customFormat="1" ht="13" x14ac:dyDescent="0.3">
      <c r="C112" s="69" t="str">
        <f t="shared" ref="C112:C118" si="52">B29</f>
        <v>Lead-in duct</v>
      </c>
      <c r="D112" s="61">
        <f t="shared" ref="D112:J117" si="53">$D29*D$110</f>
        <v>-27.992309815936668</v>
      </c>
      <c r="E112" s="61">
        <f t="shared" si="53"/>
        <v>-1.3662152574026334</v>
      </c>
      <c r="F112" s="61">
        <f t="shared" si="53"/>
        <v>19.854758754049826</v>
      </c>
      <c r="G112" s="61">
        <f t="shared" si="53"/>
        <v>20.490583496160713</v>
      </c>
      <c r="H112" s="61">
        <f t="shared" si="53"/>
        <v>28.392478486107315</v>
      </c>
      <c r="I112" s="61">
        <f t="shared" si="53"/>
        <v>29.161756597346365</v>
      </c>
      <c r="J112" s="61">
        <f t="shared" si="53"/>
        <v>28.13598055257037</v>
      </c>
      <c r="K112" s="61">
        <f t="shared" ref="K112:L112" si="54">$D29*K$110</f>
        <v>26.090905461230122</v>
      </c>
      <c r="L112" s="61">
        <f t="shared" si="54"/>
        <v>26.84295554776541</v>
      </c>
    </row>
    <row r="113" spans="3:12" s="33" customFormat="1" ht="13" x14ac:dyDescent="0.3">
      <c r="C113" s="69" t="str">
        <f t="shared" si="52"/>
        <v>Spine duct – single bore</v>
      </c>
      <c r="D113" s="61">
        <f t="shared" si="53"/>
        <v>-109.64536382958575</v>
      </c>
      <c r="E113" s="61">
        <f t="shared" si="53"/>
        <v>-5.3514400902407404</v>
      </c>
      <c r="F113" s="61">
        <f t="shared" si="53"/>
        <v>77.770725661840146</v>
      </c>
      <c r="G113" s="61">
        <f t="shared" si="53"/>
        <v>80.261239507929076</v>
      </c>
      <c r="H113" s="61">
        <f t="shared" si="53"/>
        <v>111.21281716668344</v>
      </c>
      <c r="I113" s="61">
        <f t="shared" si="53"/>
        <v>114.22606541048934</v>
      </c>
      <c r="J113" s="61">
        <f t="shared" si="53"/>
        <v>110.20811946831115</v>
      </c>
      <c r="K113" s="61">
        <f t="shared" ref="K113:L113" si="55">$D30*K$110</f>
        <v>102.19759786708325</v>
      </c>
      <c r="L113" s="61">
        <f t="shared" si="55"/>
        <v>105.14336425429603</v>
      </c>
    </row>
    <row r="114" spans="3:12" s="33" customFormat="1" ht="13" x14ac:dyDescent="0.3">
      <c r="C114" s="69" t="str">
        <f t="shared" si="52"/>
        <v>Spine duct – 2 bores</v>
      </c>
      <c r="D114" s="61">
        <f t="shared" si="53"/>
        <v>-28.903647355233463</v>
      </c>
      <c r="E114" s="61">
        <f t="shared" si="53"/>
        <v>-1.4106947326234383</v>
      </c>
      <c r="F114" s="61">
        <f t="shared" si="53"/>
        <v>20.501164395643062</v>
      </c>
      <c r="G114" s="61">
        <f t="shared" si="53"/>
        <v>21.157689500093095</v>
      </c>
      <c r="H114" s="61">
        <f t="shared" si="53"/>
        <v>29.316844201127193</v>
      </c>
      <c r="I114" s="61">
        <f t="shared" si="53"/>
        <v>30.11116747746842</v>
      </c>
      <c r="J114" s="61">
        <f t="shared" si="53"/>
        <v>29.051995538510678</v>
      </c>
      <c r="K114" s="61">
        <f t="shared" ref="K114:L114" si="56">$D31*K$110</f>
        <v>26.940339528565485</v>
      </c>
      <c r="L114" s="61">
        <f t="shared" si="56"/>
        <v>27.716873892382559</v>
      </c>
    </row>
    <row r="115" spans="3:12" s="33" customFormat="1" ht="13" x14ac:dyDescent="0.3">
      <c r="C115" s="69" t="str">
        <f t="shared" si="52"/>
        <v>Spine duct – 3+ bores</v>
      </c>
      <c r="D115" s="61">
        <f t="shared" si="53"/>
        <v>-45.762851332352383</v>
      </c>
      <c r="E115" s="61">
        <f t="shared" si="53"/>
        <v>-2.2335386441355078</v>
      </c>
      <c r="F115" s="61">
        <f t="shared" si="53"/>
        <v>32.459285392161931</v>
      </c>
      <c r="G115" s="61">
        <f t="shared" si="53"/>
        <v>33.498754922828752</v>
      </c>
      <c r="H115" s="61">
        <f t="shared" si="53"/>
        <v>46.4170617023183</v>
      </c>
      <c r="I115" s="61">
        <f t="shared" si="53"/>
        <v>47.674705679158777</v>
      </c>
      <c r="J115" s="61">
        <f t="shared" si="53"/>
        <v>45.997729504414998</v>
      </c>
      <c r="K115" s="61">
        <f t="shared" ref="K115:L115" si="57">$D32*K$110</f>
        <v>42.654365988367502</v>
      </c>
      <c r="L115" s="61">
        <f t="shared" si="57"/>
        <v>43.88384496066022</v>
      </c>
    </row>
    <row r="116" spans="3:12" s="33" customFormat="1" ht="13" x14ac:dyDescent="0.3">
      <c r="C116" s="69" t="str">
        <f t="shared" si="52"/>
        <v>Joint boxes</v>
      </c>
      <c r="D116" s="61">
        <f t="shared" si="53"/>
        <v>-52.072226247954511</v>
      </c>
      <c r="E116" s="61">
        <f t="shared" si="53"/>
        <v>-2.541479086744554</v>
      </c>
      <c r="F116" s="61">
        <f t="shared" si="53"/>
        <v>36.934482961131899</v>
      </c>
      <c r="G116" s="61">
        <f t="shared" si="53"/>
        <v>38.117265305388315</v>
      </c>
      <c r="H116" s="61">
        <f t="shared" si="53"/>
        <v>52.816633325022721</v>
      </c>
      <c r="I116" s="61">
        <f t="shared" si="53"/>
        <v>54.247670067593816</v>
      </c>
      <c r="J116" s="61">
        <f t="shared" si="53"/>
        <v>52.339487333316647</v>
      </c>
      <c r="K116" s="61">
        <f t="shared" ref="K116:L116" si="58">$D33*K$110</f>
        <v>48.535170592377412</v>
      </c>
      <c r="L116" s="61">
        <f t="shared" si="58"/>
        <v>49.934159190080202</v>
      </c>
    </row>
    <row r="117" spans="3:12" s="33" customFormat="1" ht="13" x14ac:dyDescent="0.3">
      <c r="C117" s="70" t="str">
        <f t="shared" si="52"/>
        <v>Manholes</v>
      </c>
      <c r="D117" s="275">
        <f t="shared" si="53"/>
        <v>-34.934756773393161</v>
      </c>
      <c r="E117" s="275">
        <f t="shared" si="53"/>
        <v>-1.7050539248564207</v>
      </c>
      <c r="F117" s="275">
        <f t="shared" si="53"/>
        <v>24.778990102211385</v>
      </c>
      <c r="G117" s="275">
        <f t="shared" si="53"/>
        <v>25.572507424011796</v>
      </c>
      <c r="H117" s="275">
        <f t="shared" si="53"/>
        <v>35.434172336191224</v>
      </c>
      <c r="I117" s="275">
        <f t="shared" si="53"/>
        <v>36.394241150945881</v>
      </c>
      <c r="J117" s="275">
        <f t="shared" si="53"/>
        <v>35.114059670251464</v>
      </c>
      <c r="K117" s="275">
        <f t="shared" ref="K117:L117" si="59">$D34*K$110</f>
        <v>32.561780084569634</v>
      </c>
      <c r="L117" s="275">
        <f t="shared" si="59"/>
        <v>33.500348106546937</v>
      </c>
    </row>
    <row r="118" spans="3:12" s="33" customFormat="1" ht="13" x14ac:dyDescent="0.3">
      <c r="C118" s="69" t="str">
        <f t="shared" si="52"/>
        <v>Total</v>
      </c>
      <c r="D118" s="61">
        <f>SUM(D112:D117)</f>
        <v>-299.31115535445599</v>
      </c>
      <c r="E118" s="61">
        <f t="shared" ref="E118:J118" si="60">SUM(E112:E117)</f>
        <v>-14.608421736003294</v>
      </c>
      <c r="F118" s="61">
        <f t="shared" si="60"/>
        <v>212.29940726703825</v>
      </c>
      <c r="G118" s="61">
        <f t="shared" si="60"/>
        <v>219.09804015641177</v>
      </c>
      <c r="H118" s="61">
        <f t="shared" si="60"/>
        <v>303.59000721745019</v>
      </c>
      <c r="I118" s="61">
        <f t="shared" si="60"/>
        <v>311.8156063830026</v>
      </c>
      <c r="J118" s="61">
        <f t="shared" si="60"/>
        <v>300.84737206737532</v>
      </c>
      <c r="K118" s="61">
        <f t="shared" ref="K118:L118" si="61">SUM(K112:K117)</f>
        <v>278.98015952219345</v>
      </c>
      <c r="L118" s="61">
        <f t="shared" si="61"/>
        <v>287.02154595173135</v>
      </c>
    </row>
    <row r="119" spans="3:12" s="33" customFormat="1" x14ac:dyDescent="0.35">
      <c r="D119" s="354" t="b">
        <f>IF(ABS(D118-D110)&lt;0.000001,TRUE,FALSE)</f>
        <v>1</v>
      </c>
      <c r="E119" s="354" t="b">
        <f t="shared" ref="E119:J119" si="62">IF(ABS(E118-E110)&lt;0.000001,TRUE,FALSE)</f>
        <v>1</v>
      </c>
      <c r="F119" s="354" t="b">
        <f t="shared" si="62"/>
        <v>1</v>
      </c>
      <c r="G119" s="354" t="b">
        <f t="shared" si="62"/>
        <v>1</v>
      </c>
      <c r="H119" s="354" t="b">
        <f t="shared" si="62"/>
        <v>1</v>
      </c>
      <c r="I119" s="354" t="b">
        <f t="shared" si="62"/>
        <v>1</v>
      </c>
      <c r="J119" s="354" t="b">
        <f t="shared" si="62"/>
        <v>1</v>
      </c>
      <c r="K119" s="354" t="b">
        <f t="shared" ref="K119:L119" si="63">IF(ABS(K118-K110)&lt;0.000001,TRUE,FALSE)</f>
        <v>1</v>
      </c>
      <c r="L119" s="354" t="b">
        <f t="shared" si="63"/>
        <v>1</v>
      </c>
    </row>
    <row r="120" spans="3:12" s="33" customFormat="1" ht="9" customHeight="1" x14ac:dyDescent="0.3">
      <c r="D120" s="61"/>
      <c r="E120" s="61"/>
      <c r="F120" s="61"/>
      <c r="G120" s="61"/>
      <c r="H120" s="61"/>
      <c r="I120" s="61"/>
      <c r="J120" s="61"/>
      <c r="K120" s="61"/>
      <c r="L120" s="61"/>
    </row>
    <row r="121" spans="3:12" s="33" customFormat="1" ht="13" x14ac:dyDescent="0.3">
      <c r="C121" s="33" t="str">
        <f>A102</f>
        <v>Total MCE</v>
      </c>
      <c r="D121" s="61">
        <f>D103</f>
        <v>4975.3456458962255</v>
      </c>
      <c r="E121" s="61">
        <f t="shared" ref="E121:J121" si="64">E103</f>
        <v>5178.1040999049501</v>
      </c>
      <c r="F121" s="61">
        <f t="shared" si="64"/>
        <v>5127.227280270854</v>
      </c>
      <c r="G121" s="61">
        <f t="shared" si="64"/>
        <v>4957.9287856351921</v>
      </c>
      <c r="H121" s="61">
        <f t="shared" si="64"/>
        <v>4740.681085981897</v>
      </c>
      <c r="I121" s="61">
        <f t="shared" si="64"/>
        <v>4475.1177292121665</v>
      </c>
      <c r="J121" s="61">
        <f t="shared" si="64"/>
        <v>4208.9503161534294</v>
      </c>
      <c r="K121" s="61">
        <f t="shared" ref="K121:L121" si="65">K103</f>
        <v>3957.4527575114143</v>
      </c>
      <c r="L121" s="61">
        <f t="shared" si="65"/>
        <v>3711.5652696692432</v>
      </c>
    </row>
    <row r="122" spans="3:12" s="33" customFormat="1" ht="9" customHeight="1" x14ac:dyDescent="0.3">
      <c r="D122" s="61"/>
      <c r="E122" s="61"/>
      <c r="F122" s="61"/>
      <c r="G122" s="61"/>
      <c r="H122" s="61"/>
      <c r="I122" s="61"/>
      <c r="J122" s="61"/>
      <c r="K122" s="61"/>
      <c r="L122" s="61"/>
    </row>
    <row r="123" spans="3:12" s="33" customFormat="1" ht="13" x14ac:dyDescent="0.3">
      <c r="C123" s="69" t="str">
        <f t="shared" ref="C123:C129" si="66">B29</f>
        <v>Lead-in duct</v>
      </c>
      <c r="D123" s="61">
        <f t="shared" ref="D123:J128" si="67">$D29*D$121</f>
        <v>465.30646876949186</v>
      </c>
      <c r="E123" s="61">
        <f t="shared" si="67"/>
        <v>484.2689342869939</v>
      </c>
      <c r="F123" s="61">
        <f t="shared" si="67"/>
        <v>479.51080993322364</v>
      </c>
      <c r="G123" s="61">
        <f t="shared" si="67"/>
        <v>463.67760148631169</v>
      </c>
      <c r="H123" s="61">
        <f t="shared" si="67"/>
        <v>443.36006635036625</v>
      </c>
      <c r="I123" s="61">
        <f t="shared" si="67"/>
        <v>418.52393303066049</v>
      </c>
      <c r="J123" s="61">
        <f t="shared" si="67"/>
        <v>393.6313068924091</v>
      </c>
      <c r="K123" s="61">
        <f t="shared" ref="K123:L123" si="68">$D29*K$121</f>
        <v>370.11064134580778</v>
      </c>
      <c r="L123" s="61">
        <f t="shared" si="68"/>
        <v>347.11464331362839</v>
      </c>
    </row>
    <row r="124" spans="3:12" s="33" customFormat="1" ht="13" x14ac:dyDescent="0.3">
      <c r="C124" s="69" t="str">
        <f t="shared" si="66"/>
        <v>Spine duct – single bore</v>
      </c>
      <c r="D124" s="61">
        <f t="shared" si="67"/>
        <v>1822.5968987898452</v>
      </c>
      <c r="E124" s="61">
        <f t="shared" si="67"/>
        <v>1896.8725282196388</v>
      </c>
      <c r="F124" s="61">
        <f t="shared" si="67"/>
        <v>1878.2350424477954</v>
      </c>
      <c r="G124" s="61">
        <f t="shared" si="67"/>
        <v>1816.2166555348667</v>
      </c>
      <c r="H124" s="61">
        <f t="shared" si="67"/>
        <v>1736.6332432780891</v>
      </c>
      <c r="I124" s="61">
        <f t="shared" si="67"/>
        <v>1639.3505648615737</v>
      </c>
      <c r="J124" s="61">
        <f t="shared" si="67"/>
        <v>1541.8466051115806</v>
      </c>
      <c r="K124" s="61">
        <f t="shared" ref="K124:L124" si="69">$D30*K$121</f>
        <v>1449.7165898206358</v>
      </c>
      <c r="L124" s="61">
        <f t="shared" si="69"/>
        <v>1359.641687554898</v>
      </c>
    </row>
    <row r="125" spans="3:12" s="33" customFormat="1" ht="13" x14ac:dyDescent="0.3">
      <c r="C125" s="69" t="str">
        <f t="shared" si="66"/>
        <v>Spine duct – 2 bores</v>
      </c>
      <c r="D125" s="61">
        <f t="shared" si="67"/>
        <v>480.45531697300265</v>
      </c>
      <c r="E125" s="61">
        <f t="shared" si="67"/>
        <v>500.03513799911946</v>
      </c>
      <c r="F125" s="61">
        <f t="shared" si="67"/>
        <v>495.12210476613393</v>
      </c>
      <c r="G125" s="61">
        <f t="shared" si="67"/>
        <v>478.77341912851995</v>
      </c>
      <c r="H125" s="61">
        <f t="shared" si="67"/>
        <v>457.79441187408469</v>
      </c>
      <c r="I125" s="61">
        <f t="shared" si="67"/>
        <v>432.1496957409542</v>
      </c>
      <c r="J125" s="61">
        <f t="shared" si="67"/>
        <v>406.44664756891433</v>
      </c>
      <c r="K125" s="61">
        <f t="shared" ref="K125:L125" si="70">$D31*K$121</f>
        <v>382.16022651293167</v>
      </c>
      <c r="L125" s="61">
        <f t="shared" si="70"/>
        <v>358.415554419979</v>
      </c>
    </row>
    <row r="126" spans="3:12" s="33" customFormat="1" ht="13" x14ac:dyDescent="0.3">
      <c r="C126" s="69" t="str">
        <f t="shared" si="66"/>
        <v>Spine duct – 3+ bores</v>
      </c>
      <c r="D126" s="61">
        <f t="shared" si="67"/>
        <v>760.7000241958275</v>
      </c>
      <c r="E126" s="61">
        <f t="shared" si="67"/>
        <v>791.70055598753618</v>
      </c>
      <c r="F126" s="61">
        <f t="shared" si="67"/>
        <v>783.92180036307298</v>
      </c>
      <c r="G126" s="61">
        <f t="shared" si="67"/>
        <v>758.03709241883394</v>
      </c>
      <c r="H126" s="61">
        <f t="shared" si="67"/>
        <v>724.82124328098359</v>
      </c>
      <c r="I126" s="61">
        <f t="shared" si="67"/>
        <v>684.21822465716502</v>
      </c>
      <c r="J126" s="61">
        <f t="shared" si="67"/>
        <v>643.52284950852049</v>
      </c>
      <c r="K126" s="61">
        <f t="shared" ref="K126:L126" si="71">$D32*K$121</f>
        <v>605.07040568645709</v>
      </c>
      <c r="L126" s="61">
        <f t="shared" si="71"/>
        <v>567.47570749593615</v>
      </c>
    </row>
    <row r="127" spans="3:12" s="33" customFormat="1" ht="13" x14ac:dyDescent="0.3">
      <c r="C127" s="69" t="str">
        <f t="shared" si="66"/>
        <v>Joint boxes</v>
      </c>
      <c r="D127" s="61">
        <f t="shared" si="67"/>
        <v>865.57857767804933</v>
      </c>
      <c r="E127" s="61">
        <f t="shared" si="67"/>
        <v>900.85318706681232</v>
      </c>
      <c r="F127" s="61">
        <f t="shared" si="67"/>
        <v>892.0019658030219</v>
      </c>
      <c r="G127" s="61">
        <f t="shared" si="67"/>
        <v>862.54850455241694</v>
      </c>
      <c r="H127" s="61">
        <f t="shared" si="67"/>
        <v>824.75314956540592</v>
      </c>
      <c r="I127" s="61">
        <f t="shared" si="67"/>
        <v>778.55214786701129</v>
      </c>
      <c r="J127" s="61">
        <f t="shared" si="67"/>
        <v>732.2460563475895</v>
      </c>
      <c r="K127" s="61">
        <f t="shared" ref="K127:L127" si="72">$D33*K$121</f>
        <v>688.49213157687268</v>
      </c>
      <c r="L127" s="61">
        <f t="shared" si="72"/>
        <v>645.71421077637387</v>
      </c>
    </row>
    <row r="128" spans="3:12" s="33" customFormat="1" ht="13" x14ac:dyDescent="0.3">
      <c r="C128" s="70" t="str">
        <f t="shared" si="66"/>
        <v>Manholes</v>
      </c>
      <c r="D128" s="275">
        <f t="shared" si="67"/>
        <v>580.708359490009</v>
      </c>
      <c r="E128" s="275">
        <f t="shared" si="67"/>
        <v>604.37375634484954</v>
      </c>
      <c r="F128" s="275">
        <f t="shared" si="67"/>
        <v>598.43555695760608</v>
      </c>
      <c r="G128" s="275">
        <f t="shared" si="67"/>
        <v>578.67551251424288</v>
      </c>
      <c r="H128" s="275">
        <f t="shared" si="67"/>
        <v>553.31897163296753</v>
      </c>
      <c r="I128" s="275">
        <f t="shared" si="67"/>
        <v>522.32316305480163</v>
      </c>
      <c r="J128" s="275">
        <f t="shared" si="67"/>
        <v>491.25685072441553</v>
      </c>
      <c r="K128" s="275">
        <f t="shared" ref="K128:L128" si="73">$D34*K$121</f>
        <v>461.90276256870931</v>
      </c>
      <c r="L128" s="275">
        <f t="shared" si="73"/>
        <v>433.20346610842779</v>
      </c>
    </row>
    <row r="129" spans="2:12" s="33" customFormat="1" ht="13" x14ac:dyDescent="0.3">
      <c r="C129" s="69" t="str">
        <f t="shared" si="66"/>
        <v>Total</v>
      </c>
      <c r="D129" s="61">
        <f>SUM(D123:D128)</f>
        <v>4975.3456458962255</v>
      </c>
      <c r="E129" s="61">
        <f t="shared" ref="E129:J129" si="74">SUM(E123:E128)</f>
        <v>5178.1040999049501</v>
      </c>
      <c r="F129" s="61">
        <f t="shared" si="74"/>
        <v>5127.2272802708549</v>
      </c>
      <c r="G129" s="61">
        <f t="shared" si="74"/>
        <v>4957.9287856351912</v>
      </c>
      <c r="H129" s="61">
        <f t="shared" si="74"/>
        <v>4740.6810859818979</v>
      </c>
      <c r="I129" s="61">
        <f t="shared" si="74"/>
        <v>4475.1177292121665</v>
      </c>
      <c r="J129" s="61">
        <f t="shared" si="74"/>
        <v>4208.9503161534303</v>
      </c>
      <c r="K129" s="61">
        <f t="shared" ref="K129:L129" si="75">SUM(K123:K128)</f>
        <v>3957.4527575114143</v>
      </c>
      <c r="L129" s="61">
        <f t="shared" si="75"/>
        <v>3711.5652696692432</v>
      </c>
    </row>
    <row r="130" spans="2:12" s="33" customFormat="1" x14ac:dyDescent="0.35">
      <c r="D130" s="354" t="b">
        <f>IF(ABS(D129-D121)&lt;0.000001,TRUE,FALSE)</f>
        <v>1</v>
      </c>
      <c r="E130" s="354" t="b">
        <f t="shared" ref="E130:J130" si="76">IF(ABS(E129-E121)&lt;0.000001,TRUE,FALSE)</f>
        <v>1</v>
      </c>
      <c r="F130" s="354" t="b">
        <f t="shared" si="76"/>
        <v>1</v>
      </c>
      <c r="G130" s="354" t="b">
        <f t="shared" si="76"/>
        <v>1</v>
      </c>
      <c r="H130" s="354" t="b">
        <f t="shared" si="76"/>
        <v>1</v>
      </c>
      <c r="I130" s="354" t="b">
        <f t="shared" si="76"/>
        <v>1</v>
      </c>
      <c r="J130" s="354" t="b">
        <f t="shared" si="76"/>
        <v>1</v>
      </c>
      <c r="K130" s="354" t="b">
        <f t="shared" ref="K130:L130" si="77">IF(ABS(K129-K121)&lt;0.000001,TRUE,FALSE)</f>
        <v>1</v>
      </c>
      <c r="L130" s="354" t="b">
        <f t="shared" si="77"/>
        <v>1</v>
      </c>
    </row>
    <row r="131" spans="2:12" s="33" customFormat="1" ht="13" x14ac:dyDescent="0.3">
      <c r="D131" s="61"/>
      <c r="E131" s="61"/>
      <c r="F131" s="61"/>
      <c r="G131" s="61"/>
      <c r="H131" s="61"/>
      <c r="I131" s="61"/>
      <c r="J131" s="61"/>
      <c r="K131" s="61"/>
      <c r="L131" s="61"/>
    </row>
    <row r="132" spans="2:12" s="33" customFormat="1" ht="13" x14ac:dyDescent="0.3">
      <c r="B132" s="33" t="str">
        <f>'LDD forecasts'!$A$111</f>
        <v>Assets post 31/3/2018</v>
      </c>
      <c r="C132" s="33" t="str">
        <f>A80</f>
        <v>Total CCA Costs</v>
      </c>
      <c r="D132" s="61">
        <f>D82</f>
        <v>-219.92332323469867</v>
      </c>
      <c r="E132" s="61">
        <f t="shared" ref="E132:J132" si="78">E82</f>
        <v>-140.84938112557217</v>
      </c>
      <c r="F132" s="61">
        <f t="shared" si="78"/>
        <v>-29.147830116681369</v>
      </c>
      <c r="G132" s="61">
        <f t="shared" si="78"/>
        <v>-35.66920926944919</v>
      </c>
      <c r="H132" s="61">
        <f t="shared" si="78"/>
        <v>28.981078829595486</v>
      </c>
      <c r="I132" s="61">
        <f t="shared" si="78"/>
        <v>34.435423334345003</v>
      </c>
      <c r="J132" s="61">
        <f t="shared" si="78"/>
        <v>39.781312718642404</v>
      </c>
      <c r="K132" s="61">
        <f t="shared" ref="K132:L132" si="79">K82</f>
        <v>45.471605906414368</v>
      </c>
      <c r="L132" s="61">
        <f t="shared" si="79"/>
        <v>50.513067681485225</v>
      </c>
    </row>
    <row r="133" spans="2:12" s="33" customFormat="1" ht="9" customHeight="1" x14ac:dyDescent="0.3">
      <c r="D133" s="61"/>
      <c r="E133" s="61"/>
      <c r="F133" s="61"/>
      <c r="G133" s="61"/>
      <c r="H133" s="61"/>
      <c r="I133" s="61"/>
      <c r="J133" s="61"/>
      <c r="K133" s="61"/>
      <c r="L133" s="61"/>
    </row>
    <row r="134" spans="2:12" s="33" customFormat="1" ht="13" x14ac:dyDescent="0.3">
      <c r="C134" s="69" t="str">
        <f t="shared" ref="C134:C140" si="80">B29</f>
        <v>Lead-in duct</v>
      </c>
      <c r="D134" s="61">
        <f t="shared" ref="D134:J139" si="81">D37*D$132</f>
        <v>-25.24731323555929</v>
      </c>
      <c r="E134" s="61">
        <f t="shared" si="81"/>
        <v>-16.263709889583762</v>
      </c>
      <c r="F134" s="61">
        <f t="shared" si="81"/>
        <v>-3.3861318466884764</v>
      </c>
      <c r="G134" s="61">
        <f t="shared" si="81"/>
        <v>-4.1651794563887083</v>
      </c>
      <c r="H134" s="61">
        <f t="shared" si="81"/>
        <v>3.3973457533232034</v>
      </c>
      <c r="I134" s="61">
        <f t="shared" si="81"/>
        <v>4.0473550819531194</v>
      </c>
      <c r="J134" s="61">
        <f t="shared" si="81"/>
        <v>4.684119150972605</v>
      </c>
      <c r="K134" s="61">
        <f t="shared" ref="K134:L134" si="82">K37*K$132</f>
        <v>5.363896986254125</v>
      </c>
      <c r="L134" s="61">
        <f t="shared" si="82"/>
        <v>5.9585951738939711</v>
      </c>
    </row>
    <row r="135" spans="2:12" s="33" customFormat="1" ht="13" x14ac:dyDescent="0.3">
      <c r="C135" s="69" t="str">
        <f t="shared" si="80"/>
        <v>Spine duct – single bore</v>
      </c>
      <c r="D135" s="61">
        <f t="shared" si="81"/>
        <v>-82.963265483896123</v>
      </c>
      <c r="E135" s="61">
        <f t="shared" si="81"/>
        <v>-53.442933461221195</v>
      </c>
      <c r="F135" s="61">
        <f t="shared" si="81"/>
        <v>-11.126908940339302</v>
      </c>
      <c r="G135" s="61">
        <f t="shared" si="81"/>
        <v>-13.686877720586557</v>
      </c>
      <c r="H135" s="61">
        <f t="shared" si="81"/>
        <v>11.163758101458679</v>
      </c>
      <c r="I135" s="61">
        <f t="shared" si="81"/>
        <v>13.299704053211675</v>
      </c>
      <c r="J135" s="61">
        <f t="shared" si="81"/>
        <v>15.392125770159543</v>
      </c>
      <c r="K135" s="61">
        <f t="shared" ref="K135:L135" si="83">K38*K$132</f>
        <v>17.62589173536719</v>
      </c>
      <c r="L135" s="61">
        <f t="shared" si="83"/>
        <v>19.580083976087153</v>
      </c>
    </row>
    <row r="136" spans="2:12" s="33" customFormat="1" ht="13" x14ac:dyDescent="0.3">
      <c r="C136" s="69" t="str">
        <f t="shared" si="80"/>
        <v>Spine duct – 2 bores</v>
      </c>
      <c r="D136" s="61">
        <f t="shared" si="81"/>
        <v>-21.286304645044485</v>
      </c>
      <c r="E136" s="61">
        <f t="shared" si="81"/>
        <v>-13.543754829840307</v>
      </c>
      <c r="F136" s="61">
        <f t="shared" si="81"/>
        <v>-2.7833877586491313</v>
      </c>
      <c r="G136" s="61">
        <f t="shared" si="81"/>
        <v>-3.3856714873754528</v>
      </c>
      <c r="H136" s="61">
        <f t="shared" si="81"/>
        <v>2.7383395807415662</v>
      </c>
      <c r="I136" s="61">
        <f t="shared" si="81"/>
        <v>3.243520545732649</v>
      </c>
      <c r="J136" s="61">
        <f t="shared" si="81"/>
        <v>3.7389547211554501</v>
      </c>
      <c r="K136" s="61">
        <f t="shared" ref="K136:L136" si="84">K39*K$132</f>
        <v>4.2645800662089446</v>
      </c>
      <c r="L136" s="61">
        <f t="shared" si="84"/>
        <v>4.7373963866786957</v>
      </c>
    </row>
    <row r="137" spans="2:12" s="33" customFormat="1" ht="13" x14ac:dyDescent="0.3">
      <c r="C137" s="69" t="str">
        <f t="shared" si="80"/>
        <v>Spine duct – 3+ bores</v>
      </c>
      <c r="D137" s="61">
        <f t="shared" si="81"/>
        <v>-24.185169363814151</v>
      </c>
      <c r="E137" s="61">
        <f t="shared" si="81"/>
        <v>-15.385957304586409</v>
      </c>
      <c r="F137" s="61">
        <f t="shared" si="81"/>
        <v>-3.1614897916019089</v>
      </c>
      <c r="G137" s="61">
        <f t="shared" si="81"/>
        <v>-3.845012615213518</v>
      </c>
      <c r="H137" s="61">
        <f t="shared" si="81"/>
        <v>3.1094034472550121</v>
      </c>
      <c r="I137" s="61">
        <f t="shared" si="81"/>
        <v>3.682588988167014</v>
      </c>
      <c r="J137" s="61">
        <f t="shared" si="81"/>
        <v>4.2446036534624971</v>
      </c>
      <c r="K137" s="61">
        <f t="shared" ref="K137:L137" si="85">K40*K$132</f>
        <v>4.8407752987630293</v>
      </c>
      <c r="L137" s="61">
        <f t="shared" si="85"/>
        <v>5.3774746992778981</v>
      </c>
    </row>
    <row r="138" spans="2:12" s="33" customFormat="1" ht="13" x14ac:dyDescent="0.3">
      <c r="C138" s="69" t="str">
        <f t="shared" si="80"/>
        <v>Joint boxes</v>
      </c>
      <c r="D138" s="61">
        <f t="shared" si="81"/>
        <v>-34.46460180352102</v>
      </c>
      <c r="E138" s="61">
        <f t="shared" si="81"/>
        <v>-21.997758601713272</v>
      </c>
      <c r="F138" s="61">
        <f t="shared" si="81"/>
        <v>-4.5361306922797429</v>
      </c>
      <c r="G138" s="61">
        <f t="shared" si="81"/>
        <v>-5.5346695098336296</v>
      </c>
      <c r="H138" s="61">
        <f t="shared" si="81"/>
        <v>4.4869462105361837</v>
      </c>
      <c r="I138" s="61">
        <f t="shared" si="81"/>
        <v>5.3239131451491</v>
      </c>
      <c r="J138" s="61">
        <f t="shared" si="81"/>
        <v>6.1447894940175587</v>
      </c>
      <c r="K138" s="61">
        <f t="shared" ref="K138:L138" si="86">K41*K$132</f>
        <v>7.0164906659032207</v>
      </c>
      <c r="L138" s="61">
        <f t="shared" si="86"/>
        <v>7.7944128171484373</v>
      </c>
    </row>
    <row r="139" spans="2:12" s="33" customFormat="1" ht="13" x14ac:dyDescent="0.3">
      <c r="C139" s="70" t="str">
        <f t="shared" si="80"/>
        <v>Manholes</v>
      </c>
      <c r="D139" s="275">
        <f t="shared" si="81"/>
        <v>-31.776668702863596</v>
      </c>
      <c r="E139" s="275">
        <f t="shared" si="81"/>
        <v>-20.215267038627218</v>
      </c>
      <c r="F139" s="275">
        <f t="shared" si="81"/>
        <v>-4.153781087122808</v>
      </c>
      <c r="G139" s="275">
        <f t="shared" si="81"/>
        <v>-5.0517984800513265</v>
      </c>
      <c r="H139" s="275">
        <f t="shared" si="81"/>
        <v>4.0852857362808397</v>
      </c>
      <c r="I139" s="275">
        <f t="shared" si="81"/>
        <v>4.8383415201314479</v>
      </c>
      <c r="J139" s="275">
        <f t="shared" si="81"/>
        <v>5.5767199288747538</v>
      </c>
      <c r="K139" s="275">
        <f t="shared" ref="K139:L139" si="87">K42*K$132</f>
        <v>6.3599711539178596</v>
      </c>
      <c r="L139" s="275">
        <f t="shared" si="87"/>
        <v>7.0651046283990686</v>
      </c>
    </row>
    <row r="140" spans="2:12" s="33" customFormat="1" ht="13" x14ac:dyDescent="0.3">
      <c r="C140" s="69" t="str">
        <f t="shared" si="80"/>
        <v>Total</v>
      </c>
      <c r="D140" s="61">
        <f>SUM(D134:D139)</f>
        <v>-219.92332323469864</v>
      </c>
      <c r="E140" s="61">
        <f t="shared" ref="E140:J140" si="88">SUM(E134:E139)</f>
        <v>-140.84938112557217</v>
      </c>
      <c r="F140" s="61">
        <f t="shared" si="88"/>
        <v>-29.147830116681369</v>
      </c>
      <c r="G140" s="61">
        <f t="shared" si="88"/>
        <v>-35.669209269449198</v>
      </c>
      <c r="H140" s="61">
        <f t="shared" si="88"/>
        <v>28.981078829595482</v>
      </c>
      <c r="I140" s="61">
        <f t="shared" si="88"/>
        <v>34.43542333434501</v>
      </c>
      <c r="J140" s="61">
        <f t="shared" si="88"/>
        <v>39.781312718642411</v>
      </c>
      <c r="K140" s="61">
        <f t="shared" ref="K140:L140" si="89">SUM(K134:K139)</f>
        <v>45.471605906414368</v>
      </c>
      <c r="L140" s="61">
        <f t="shared" si="89"/>
        <v>50.513067681485225</v>
      </c>
    </row>
    <row r="141" spans="2:12" s="33" customFormat="1" x14ac:dyDescent="0.35">
      <c r="D141" s="354" t="b">
        <f>IF(ABS(D140-D132)&lt;0.000001,TRUE,FALSE)</f>
        <v>1</v>
      </c>
      <c r="E141" s="354" t="b">
        <f t="shared" ref="E141:J141" si="90">IF(ABS(E140-E132)&lt;0.000001,TRUE,FALSE)</f>
        <v>1</v>
      </c>
      <c r="F141" s="354" t="b">
        <f t="shared" si="90"/>
        <v>1</v>
      </c>
      <c r="G141" s="354" t="b">
        <f t="shared" si="90"/>
        <v>1</v>
      </c>
      <c r="H141" s="354" t="b">
        <f t="shared" si="90"/>
        <v>1</v>
      </c>
      <c r="I141" s="354" t="b">
        <f t="shared" si="90"/>
        <v>1</v>
      </c>
      <c r="J141" s="354" t="b">
        <f t="shared" si="90"/>
        <v>1</v>
      </c>
      <c r="K141" s="354" t="b">
        <f t="shared" ref="K141:L141" si="91">IF(ABS(K140-K132)&lt;0.000001,TRUE,FALSE)</f>
        <v>1</v>
      </c>
      <c r="L141" s="354" t="b">
        <f t="shared" si="91"/>
        <v>1</v>
      </c>
    </row>
    <row r="142" spans="2:12" s="33" customFormat="1" ht="9" customHeight="1" x14ac:dyDescent="0.3">
      <c r="D142" s="61"/>
      <c r="E142" s="61"/>
      <c r="F142" s="61"/>
      <c r="G142" s="61"/>
      <c r="H142" s="61"/>
      <c r="I142" s="61"/>
      <c r="J142" s="61"/>
      <c r="K142" s="61"/>
      <c r="L142" s="61"/>
    </row>
    <row r="143" spans="2:12" s="33" customFormat="1" ht="13" x14ac:dyDescent="0.3">
      <c r="C143" s="33" t="str">
        <f>A102</f>
        <v>Total MCE</v>
      </c>
      <c r="D143" s="61">
        <f>D104</f>
        <v>2164.1592046629353</v>
      </c>
      <c r="E143" s="61">
        <f t="shared" ref="E143:J143" si="92">E104</f>
        <v>2849.1371571814757</v>
      </c>
      <c r="F143" s="61">
        <f t="shared" si="92"/>
        <v>3431.3293050812476</v>
      </c>
      <c r="G143" s="61">
        <f t="shared" si="92"/>
        <v>3976.2642460376533</v>
      </c>
      <c r="H143" s="61">
        <f t="shared" si="92"/>
        <v>4487.0187647057455</v>
      </c>
      <c r="I143" s="61">
        <f t="shared" si="92"/>
        <v>4864.301776522223</v>
      </c>
      <c r="J143" s="61">
        <f t="shared" si="92"/>
        <v>5111.5632800476324</v>
      </c>
      <c r="K143" s="61">
        <f t="shared" ref="K143:L143" si="93">K104</f>
        <v>5316.0784166346511</v>
      </c>
      <c r="L143" s="61">
        <f t="shared" si="93"/>
        <v>5516.449070939464</v>
      </c>
    </row>
    <row r="144" spans="2:12" s="33" customFormat="1" ht="9" customHeight="1" x14ac:dyDescent="0.3">
      <c r="D144" s="61"/>
      <c r="E144" s="61"/>
      <c r="F144" s="61"/>
      <c r="G144" s="61"/>
      <c r="H144" s="61"/>
      <c r="I144" s="61"/>
      <c r="J144" s="61"/>
      <c r="K144" s="61"/>
      <c r="L144" s="61"/>
    </row>
    <row r="145" spans="1:14" s="33" customFormat="1" ht="13" x14ac:dyDescent="0.3">
      <c r="C145" s="69" t="str">
        <f t="shared" ref="C145:C151" si="94">B29</f>
        <v>Lead-in duct</v>
      </c>
      <c r="D145" s="61">
        <f t="shared" ref="D145:J150" si="95">D37*D$143</f>
        <v>248.44661552078267</v>
      </c>
      <c r="E145" s="61">
        <f t="shared" si="95"/>
        <v>328.98646617922583</v>
      </c>
      <c r="F145" s="61">
        <f t="shared" si="95"/>
        <v>398.62087125866395</v>
      </c>
      <c r="G145" s="61">
        <f t="shared" si="95"/>
        <v>464.31795069127759</v>
      </c>
      <c r="H145" s="61">
        <f t="shared" si="95"/>
        <v>525.99678000211156</v>
      </c>
      <c r="I145" s="61">
        <f t="shared" si="95"/>
        <v>571.72395774571316</v>
      </c>
      <c r="J145" s="61">
        <f t="shared" si="95"/>
        <v>601.86981814351145</v>
      </c>
      <c r="K145" s="61">
        <f t="shared" ref="K145:L145" si="96">K37*K$143</f>
        <v>627.09236740756512</v>
      </c>
      <c r="L145" s="61">
        <f t="shared" si="96"/>
        <v>650.72838217623951</v>
      </c>
    </row>
    <row r="146" spans="1:14" s="33" customFormat="1" ht="13" x14ac:dyDescent="0.3">
      <c r="C146" s="69" t="str">
        <f t="shared" si="94"/>
        <v>Spine duct – single bore</v>
      </c>
      <c r="D146" s="61">
        <f t="shared" si="95"/>
        <v>816.40142575628624</v>
      </c>
      <c r="E146" s="61">
        <f t="shared" si="95"/>
        <v>1081.0572705136121</v>
      </c>
      <c r="F146" s="61">
        <f t="shared" si="95"/>
        <v>1309.8775644402506</v>
      </c>
      <c r="G146" s="61">
        <f t="shared" si="95"/>
        <v>1525.7597136270374</v>
      </c>
      <c r="H146" s="61">
        <f t="shared" si="95"/>
        <v>1728.437798344723</v>
      </c>
      <c r="I146" s="61">
        <f t="shared" si="95"/>
        <v>1878.6983805926805</v>
      </c>
      <c r="J146" s="61">
        <f t="shared" si="95"/>
        <v>1977.75838733829</v>
      </c>
      <c r="K146" s="61">
        <f t="shared" ref="K146:L146" si="97">K38*K$143</f>
        <v>2060.6402778290021</v>
      </c>
      <c r="L146" s="61">
        <f t="shared" si="97"/>
        <v>2138.3087786290394</v>
      </c>
    </row>
    <row r="147" spans="1:14" s="33" customFormat="1" ht="13" x14ac:dyDescent="0.3">
      <c r="C147" s="69" t="str">
        <f t="shared" si="94"/>
        <v>Spine duct – 2 bores</v>
      </c>
      <c r="D147" s="61">
        <f t="shared" si="95"/>
        <v>209.46824308247878</v>
      </c>
      <c r="E147" s="61">
        <f t="shared" si="95"/>
        <v>273.96652243045014</v>
      </c>
      <c r="F147" s="61">
        <f t="shared" si="95"/>
        <v>327.66487060699848</v>
      </c>
      <c r="G147" s="61">
        <f t="shared" si="95"/>
        <v>377.42144442800037</v>
      </c>
      <c r="H147" s="61">
        <f t="shared" si="95"/>
        <v>423.96562098911249</v>
      </c>
      <c r="I147" s="61">
        <f t="shared" si="95"/>
        <v>458.17536783576054</v>
      </c>
      <c r="J147" s="61">
        <f t="shared" si="95"/>
        <v>480.42415778458394</v>
      </c>
      <c r="K147" s="61">
        <f t="shared" ref="K147:L147" si="98">K39*K$143</f>
        <v>498.57139623884979</v>
      </c>
      <c r="L147" s="61">
        <f t="shared" si="98"/>
        <v>517.36327044624397</v>
      </c>
    </row>
    <row r="148" spans="1:14" s="33" customFormat="1" ht="13" x14ac:dyDescent="0.3">
      <c r="C148" s="69" t="str">
        <f t="shared" si="94"/>
        <v>Spine duct – 3+ bores</v>
      </c>
      <c r="D148" s="61">
        <f t="shared" si="95"/>
        <v>237.99457067667811</v>
      </c>
      <c r="E148" s="61">
        <f t="shared" si="95"/>
        <v>311.23106331736682</v>
      </c>
      <c r="F148" s="61">
        <f t="shared" si="95"/>
        <v>372.17564828026212</v>
      </c>
      <c r="G148" s="61">
        <f t="shared" si="95"/>
        <v>428.62700072614581</v>
      </c>
      <c r="H148" s="61">
        <f t="shared" si="95"/>
        <v>481.41588161398033</v>
      </c>
      <c r="I148" s="61">
        <f t="shared" si="95"/>
        <v>520.19758791452966</v>
      </c>
      <c r="J148" s="61">
        <f t="shared" si="95"/>
        <v>545.39578235756505</v>
      </c>
      <c r="K148" s="61">
        <f t="shared" ref="K148:L148" si="99">K40*K$143</f>
        <v>565.93429179729458</v>
      </c>
      <c r="L148" s="61">
        <f t="shared" si="99"/>
        <v>587.26517058684044</v>
      </c>
    </row>
    <row r="149" spans="1:14" s="33" customFormat="1" ht="13" x14ac:dyDescent="0.3">
      <c r="C149" s="69" t="str">
        <f t="shared" si="94"/>
        <v>Joint boxes</v>
      </c>
      <c r="D149" s="61">
        <f t="shared" si="95"/>
        <v>339.14950052175629</v>
      </c>
      <c r="E149" s="61">
        <f t="shared" si="95"/>
        <v>444.97626404885</v>
      </c>
      <c r="F149" s="61">
        <f t="shared" si="95"/>
        <v>534.00057958997456</v>
      </c>
      <c r="G149" s="61">
        <f t="shared" si="95"/>
        <v>616.98335725192385</v>
      </c>
      <c r="H149" s="61">
        <f t="shared" si="95"/>
        <v>694.69504435222586</v>
      </c>
      <c r="I149" s="61">
        <f t="shared" si="95"/>
        <v>752.04883989823531</v>
      </c>
      <c r="J149" s="61">
        <f t="shared" si="95"/>
        <v>789.55364201753559</v>
      </c>
      <c r="K149" s="61">
        <f t="shared" ref="K149:L149" si="100">K41*K$143</f>
        <v>820.2968390053037</v>
      </c>
      <c r="L149" s="61">
        <f t="shared" si="100"/>
        <v>851.21500865482381</v>
      </c>
    </row>
    <row r="150" spans="1:14" s="33" customFormat="1" ht="13" x14ac:dyDescent="0.3">
      <c r="C150" s="70" t="str">
        <f t="shared" si="94"/>
        <v>Manholes</v>
      </c>
      <c r="D150" s="275">
        <f t="shared" si="95"/>
        <v>312.69884910495307</v>
      </c>
      <c r="E150" s="275">
        <f t="shared" si="95"/>
        <v>408.91957069197076</v>
      </c>
      <c r="F150" s="275">
        <f t="shared" si="95"/>
        <v>488.98977090509783</v>
      </c>
      <c r="G150" s="275">
        <f t="shared" si="95"/>
        <v>563.15477931326848</v>
      </c>
      <c r="H150" s="275">
        <f t="shared" si="95"/>
        <v>632.50763940359195</v>
      </c>
      <c r="I150" s="275">
        <f t="shared" si="95"/>
        <v>683.4576425353041</v>
      </c>
      <c r="J150" s="275">
        <f t="shared" si="95"/>
        <v>716.56149240614695</v>
      </c>
      <c r="K150" s="275">
        <f t="shared" ref="K150:L150" si="101">K42*K$143</f>
        <v>743.54324435663591</v>
      </c>
      <c r="L150" s="275">
        <f t="shared" si="101"/>
        <v>771.56846044627707</v>
      </c>
    </row>
    <row r="151" spans="1:14" s="33" customFormat="1" ht="13" x14ac:dyDescent="0.3">
      <c r="C151" s="69" t="str">
        <f t="shared" si="94"/>
        <v>Total</v>
      </c>
      <c r="D151" s="61">
        <f>SUM(D145:D150)</f>
        <v>2164.1592046629348</v>
      </c>
      <c r="E151" s="61">
        <f t="shared" ref="E151:J151" si="102">SUM(E145:E150)</f>
        <v>2849.1371571814757</v>
      </c>
      <c r="F151" s="61">
        <f t="shared" si="102"/>
        <v>3431.3293050812476</v>
      </c>
      <c r="G151" s="61">
        <f t="shared" si="102"/>
        <v>3976.2642460376537</v>
      </c>
      <c r="H151" s="61">
        <f t="shared" si="102"/>
        <v>4487.0187647057455</v>
      </c>
      <c r="I151" s="61">
        <f t="shared" si="102"/>
        <v>4864.3017765222239</v>
      </c>
      <c r="J151" s="61">
        <f t="shared" si="102"/>
        <v>5111.5632800476324</v>
      </c>
      <c r="K151" s="61">
        <f t="shared" ref="K151:L151" si="103">SUM(K145:K150)</f>
        <v>5316.0784166346511</v>
      </c>
      <c r="L151" s="61">
        <f t="shared" si="103"/>
        <v>5516.4490709394631</v>
      </c>
    </row>
    <row r="152" spans="1:14" s="33" customFormat="1" x14ac:dyDescent="0.35">
      <c r="D152" s="352" t="b">
        <f>IF(ABS(D151-D143)&lt;0.000001,TRUE,FALSE)</f>
        <v>1</v>
      </c>
      <c r="E152" s="352" t="b">
        <f t="shared" ref="E152:J152" si="104">IF(ABS(E151-E143)&lt;0.000001,TRUE,FALSE)</f>
        <v>1</v>
      </c>
      <c r="F152" s="352" t="b">
        <f t="shared" si="104"/>
        <v>1</v>
      </c>
      <c r="G152" s="352" t="b">
        <f t="shared" si="104"/>
        <v>1</v>
      </c>
      <c r="H152" s="352" t="b">
        <f t="shared" si="104"/>
        <v>1</v>
      </c>
      <c r="I152" s="352" t="b">
        <f t="shared" si="104"/>
        <v>1</v>
      </c>
      <c r="J152" s="352" t="b">
        <f t="shared" si="104"/>
        <v>1</v>
      </c>
      <c r="K152" s="352" t="b">
        <f t="shared" ref="K152:L152" si="105">IF(ABS(K151-K143)&lt;0.000001,TRUE,FALSE)</f>
        <v>1</v>
      </c>
      <c r="L152" s="352" t="b">
        <f t="shared" si="105"/>
        <v>1</v>
      </c>
    </row>
    <row r="153" spans="1:14" s="8" customFormat="1" ht="9" customHeight="1" thickBot="1" x14ac:dyDescent="0.4">
      <c r="A153" s="2"/>
      <c r="B153" s="2"/>
      <c r="C153" s="2"/>
      <c r="D153" s="2"/>
      <c r="E153" s="2"/>
      <c r="F153" s="2"/>
      <c r="G153" s="2"/>
      <c r="H153" s="2"/>
      <c r="I153" s="2"/>
      <c r="J153" s="2"/>
      <c r="K153" s="2"/>
      <c r="L153" s="2"/>
      <c r="M153" s="2"/>
      <c r="N153" s="2"/>
    </row>
    <row r="154" spans="1:14" s="8" customFormat="1" ht="9" customHeight="1" x14ac:dyDescent="0.35">
      <c r="K154" s="195"/>
      <c r="L154" s="195"/>
    </row>
    <row r="155" spans="1:14" s="8" customFormat="1" ht="15.5" x14ac:dyDescent="0.35">
      <c r="A155" s="11" t="s">
        <v>136</v>
      </c>
      <c r="D155" s="39" t="s">
        <v>36</v>
      </c>
      <c r="E155" s="39" t="s">
        <v>37</v>
      </c>
      <c r="F155" s="39" t="s">
        <v>40</v>
      </c>
      <c r="G155" s="39" t="s">
        <v>39</v>
      </c>
      <c r="H155" s="39" t="s">
        <v>266</v>
      </c>
      <c r="I155" s="39" t="s">
        <v>267</v>
      </c>
      <c r="J155" s="39" t="s">
        <v>268</v>
      </c>
      <c r="K155" s="39" t="s">
        <v>269</v>
      </c>
      <c r="L155" s="39" t="s">
        <v>270</v>
      </c>
    </row>
    <row r="156" spans="1:14" s="8" customFormat="1" x14ac:dyDescent="0.35">
      <c r="K156" s="195"/>
      <c r="L156" s="195"/>
    </row>
    <row r="157" spans="1:14" x14ac:dyDescent="0.35">
      <c r="A157" s="130" t="s">
        <v>71</v>
      </c>
      <c r="B157" s="130" t="str">
        <f>C110</f>
        <v>Total CCA Costs</v>
      </c>
      <c r="C157" s="307" t="str">
        <f t="shared" ref="C157:C163" si="106">B29</f>
        <v>Lead-in duct</v>
      </c>
      <c r="D157" s="308">
        <f>D112+D134</f>
        <v>-53.239623051495954</v>
      </c>
      <c r="E157" s="308">
        <f t="shared" ref="E157:J157" si="107">E112+E134</f>
        <v>-17.629925146986395</v>
      </c>
      <c r="F157" s="308">
        <f t="shared" si="107"/>
        <v>16.468626907361347</v>
      </c>
      <c r="G157" s="308">
        <f t="shared" si="107"/>
        <v>16.325404039772003</v>
      </c>
      <c r="H157" s="308">
        <f t="shared" si="107"/>
        <v>31.789824239430519</v>
      </c>
      <c r="I157" s="308">
        <f t="shared" si="107"/>
        <v>33.209111679299482</v>
      </c>
      <c r="J157" s="308">
        <f t="shared" si="107"/>
        <v>32.820099703542972</v>
      </c>
      <c r="K157" s="308">
        <f t="shared" ref="K157:L157" si="108">K112+K134</f>
        <v>31.454802447484248</v>
      </c>
      <c r="L157" s="308">
        <f t="shared" si="108"/>
        <v>32.801550721659382</v>
      </c>
    </row>
    <row r="158" spans="1:14" x14ac:dyDescent="0.35">
      <c r="A158" s="130"/>
      <c r="B158" s="130"/>
      <c r="C158" s="295" t="str">
        <f t="shared" si="106"/>
        <v>Spine duct – single bore</v>
      </c>
      <c r="D158" s="308">
        <f t="shared" ref="D158:J161" si="109">D113+D135</f>
        <v>-192.60862931348186</v>
      </c>
      <c r="E158" s="308">
        <f t="shared" si="109"/>
        <v>-58.794373551461938</v>
      </c>
      <c r="F158" s="308">
        <f t="shared" si="109"/>
        <v>66.643816721500841</v>
      </c>
      <c r="G158" s="308">
        <f t="shared" si="109"/>
        <v>66.574361787342525</v>
      </c>
      <c r="H158" s="308">
        <f t="shared" si="109"/>
        <v>122.37657526814212</v>
      </c>
      <c r="I158" s="308">
        <f t="shared" si="109"/>
        <v>127.52576946370101</v>
      </c>
      <c r="J158" s="308">
        <f t="shared" si="109"/>
        <v>125.60024523847069</v>
      </c>
      <c r="K158" s="308">
        <f t="shared" ref="K158:L158" si="110">K113+K135</f>
        <v>119.82348960245044</v>
      </c>
      <c r="L158" s="308">
        <f t="shared" si="110"/>
        <v>124.72344823038318</v>
      </c>
    </row>
    <row r="159" spans="1:14" x14ac:dyDescent="0.35">
      <c r="A159" s="130"/>
      <c r="B159" s="130"/>
      <c r="C159" s="295" t="str">
        <f t="shared" si="106"/>
        <v>Spine duct – 2 bores</v>
      </c>
      <c r="D159" s="308">
        <f t="shared" si="109"/>
        <v>-50.189952000277948</v>
      </c>
      <c r="E159" s="308">
        <f t="shared" si="109"/>
        <v>-14.954449562463745</v>
      </c>
      <c r="F159" s="308">
        <f t="shared" si="109"/>
        <v>17.717776636993932</v>
      </c>
      <c r="G159" s="308">
        <f t="shared" si="109"/>
        <v>17.772018012717641</v>
      </c>
      <c r="H159" s="308">
        <f t="shared" si="109"/>
        <v>32.055183781868756</v>
      </c>
      <c r="I159" s="308">
        <f t="shared" si="109"/>
        <v>33.354688023201071</v>
      </c>
      <c r="J159" s="308">
        <f t="shared" si="109"/>
        <v>32.790950259666126</v>
      </c>
      <c r="K159" s="308">
        <f t="shared" ref="K159:L159" si="111">K114+K136</f>
        <v>31.204919594774431</v>
      </c>
      <c r="L159" s="308">
        <f t="shared" si="111"/>
        <v>32.454270279061255</v>
      </c>
    </row>
    <row r="160" spans="1:14" x14ac:dyDescent="0.35">
      <c r="A160" s="130"/>
      <c r="B160" s="130"/>
      <c r="C160" s="295" t="str">
        <f t="shared" si="106"/>
        <v>Spine duct – 3+ bores</v>
      </c>
      <c r="D160" s="308">
        <f>D115+D137</f>
        <v>-69.948020696166537</v>
      </c>
      <c r="E160" s="308">
        <f t="shared" si="109"/>
        <v>-17.619495948721916</v>
      </c>
      <c r="F160" s="308">
        <f t="shared" si="109"/>
        <v>29.297795600560022</v>
      </c>
      <c r="G160" s="308">
        <f t="shared" si="109"/>
        <v>29.653742307615232</v>
      </c>
      <c r="H160" s="308">
        <f t="shared" si="109"/>
        <v>49.526465149573312</v>
      </c>
      <c r="I160" s="308">
        <f t="shared" si="109"/>
        <v>51.357294667325789</v>
      </c>
      <c r="J160" s="308">
        <f t="shared" si="109"/>
        <v>50.242333157877496</v>
      </c>
      <c r="K160" s="308">
        <f t="shared" ref="K160:L160" si="112">K115+K137</f>
        <v>47.495141287130529</v>
      </c>
      <c r="L160" s="308">
        <f t="shared" si="112"/>
        <v>49.261319659938117</v>
      </c>
    </row>
    <row r="161" spans="1:12" x14ac:dyDescent="0.35">
      <c r="A161" s="130"/>
      <c r="B161" s="130"/>
      <c r="C161" s="295" t="str">
        <f t="shared" si="106"/>
        <v>Joint boxes</v>
      </c>
      <c r="D161" s="308">
        <f t="shared" si="109"/>
        <v>-86.536828051475538</v>
      </c>
      <c r="E161" s="308">
        <f t="shared" si="109"/>
        <v>-24.539237688457828</v>
      </c>
      <c r="F161" s="308">
        <f t="shared" si="109"/>
        <v>32.398352268852157</v>
      </c>
      <c r="G161" s="308">
        <f t="shared" si="109"/>
        <v>32.582595795554688</v>
      </c>
      <c r="H161" s="308">
        <f t="shared" si="109"/>
        <v>57.303579535558903</v>
      </c>
      <c r="I161" s="308">
        <f t="shared" si="109"/>
        <v>59.571583212742915</v>
      </c>
      <c r="J161" s="308">
        <f t="shared" si="109"/>
        <v>58.484276827334206</v>
      </c>
      <c r="K161" s="308">
        <f t="shared" ref="K161" si="113">K116+K138</f>
        <v>55.551661258280632</v>
      </c>
      <c r="L161" s="308">
        <f>L116+L138</f>
        <v>57.728572007228635</v>
      </c>
    </row>
    <row r="162" spans="1:12" x14ac:dyDescent="0.35">
      <c r="A162" s="130"/>
      <c r="B162" s="130"/>
      <c r="C162" s="295" t="str">
        <f t="shared" si="106"/>
        <v>Manholes</v>
      </c>
      <c r="D162" s="308">
        <f t="shared" ref="D162:J162" si="114">D117+D139</f>
        <v>-66.71142547625675</v>
      </c>
      <c r="E162" s="308">
        <f t="shared" si="114"/>
        <v>-21.92032096348364</v>
      </c>
      <c r="F162" s="308">
        <f t="shared" si="114"/>
        <v>20.625209015088576</v>
      </c>
      <c r="G162" s="308">
        <f t="shared" si="114"/>
        <v>20.520708943960472</v>
      </c>
      <c r="H162" s="308">
        <f t="shared" si="114"/>
        <v>39.519458072472062</v>
      </c>
      <c r="I162" s="308">
        <f t="shared" si="114"/>
        <v>41.232582671077331</v>
      </c>
      <c r="J162" s="308">
        <f t="shared" si="114"/>
        <v>40.690779599126216</v>
      </c>
      <c r="K162" s="308">
        <f t="shared" ref="K162:L162" si="115">K117+K139</f>
        <v>38.921751238487495</v>
      </c>
      <c r="L162" s="308">
        <f t="shared" si="115"/>
        <v>40.565452734946007</v>
      </c>
    </row>
    <row r="163" spans="1:12" x14ac:dyDescent="0.35">
      <c r="A163" s="130"/>
      <c r="B163" s="130"/>
      <c r="C163" s="208" t="str">
        <f t="shared" si="106"/>
        <v>Total</v>
      </c>
      <c r="D163" s="61">
        <f>SUM(D157:D162)</f>
        <v>-519.23447858915461</v>
      </c>
      <c r="E163" s="61">
        <f t="shared" ref="E163:J163" si="116">SUM(E157:E162)</f>
        <v>-155.45780286157546</v>
      </c>
      <c r="F163" s="61">
        <f t="shared" si="116"/>
        <v>183.1515771503569</v>
      </c>
      <c r="G163" s="61">
        <f t="shared" si="116"/>
        <v>183.42883088696254</v>
      </c>
      <c r="H163" s="61">
        <f t="shared" si="116"/>
        <v>332.57108604704564</v>
      </c>
      <c r="I163" s="61">
        <f t="shared" si="116"/>
        <v>346.25102971734765</v>
      </c>
      <c r="J163" s="61">
        <f t="shared" si="116"/>
        <v>340.62868478601774</v>
      </c>
      <c r="K163" s="61">
        <f t="shared" ref="K163:L163" si="117">SUM(K157:K162)</f>
        <v>324.45176542860776</v>
      </c>
      <c r="L163" s="61">
        <f t="shared" si="117"/>
        <v>337.53461363321657</v>
      </c>
    </row>
    <row r="164" spans="1:12" x14ac:dyDescent="0.35">
      <c r="A164" s="130"/>
      <c r="B164" s="130"/>
      <c r="C164" s="130"/>
      <c r="D164" s="352" t="b">
        <f>D163=D80</f>
        <v>1</v>
      </c>
      <c r="E164" s="352" t="b">
        <f t="shared" ref="E164:J164" si="118">E163=E80</f>
        <v>1</v>
      </c>
      <c r="F164" s="352" t="b">
        <f t="shared" si="118"/>
        <v>1</v>
      </c>
      <c r="G164" s="352" t="b">
        <f t="shared" si="118"/>
        <v>1</v>
      </c>
      <c r="H164" s="352" t="b">
        <f t="shared" si="118"/>
        <v>1</v>
      </c>
      <c r="I164" s="352" t="b">
        <f t="shared" si="118"/>
        <v>1</v>
      </c>
      <c r="J164" s="352" t="b">
        <f t="shared" si="118"/>
        <v>1</v>
      </c>
      <c r="K164" s="352" t="b">
        <f t="shared" ref="K164:L164" si="119">K163=K80</f>
        <v>1</v>
      </c>
      <c r="L164" s="352" t="b">
        <f t="shared" si="119"/>
        <v>1</v>
      </c>
    </row>
    <row r="165" spans="1:12" ht="9" customHeight="1" x14ac:dyDescent="0.35">
      <c r="A165" s="130"/>
      <c r="B165" s="130"/>
      <c r="C165" s="130"/>
      <c r="D165" s="71"/>
      <c r="E165" s="71"/>
      <c r="F165" s="71"/>
      <c r="G165" s="71"/>
      <c r="H165" s="71"/>
      <c r="I165" s="71"/>
      <c r="J165" s="71"/>
      <c r="K165" s="71"/>
      <c r="L165" s="71"/>
    </row>
    <row r="166" spans="1:12" x14ac:dyDescent="0.35">
      <c r="A166" s="130"/>
      <c r="B166" s="130" t="str">
        <f>C143</f>
        <v>Total MCE</v>
      </c>
      <c r="C166" s="295" t="str">
        <f t="shared" ref="C166:C172" si="120">B29</f>
        <v>Lead-in duct</v>
      </c>
      <c r="D166" s="308">
        <f>D123+D145</f>
        <v>713.7530842902745</v>
      </c>
      <c r="E166" s="308">
        <f t="shared" ref="E166:J166" si="121">E123+E145</f>
        <v>813.25540046621973</v>
      </c>
      <c r="F166" s="308">
        <f t="shared" si="121"/>
        <v>878.13168119188754</v>
      </c>
      <c r="G166" s="308">
        <f t="shared" si="121"/>
        <v>927.99555217758927</v>
      </c>
      <c r="H166" s="308">
        <f t="shared" si="121"/>
        <v>969.35684635247776</v>
      </c>
      <c r="I166" s="308">
        <f t="shared" si="121"/>
        <v>990.24789077637365</v>
      </c>
      <c r="J166" s="308">
        <f t="shared" si="121"/>
        <v>995.5011250359205</v>
      </c>
      <c r="K166" s="308">
        <f t="shared" ref="K166:L166" si="122">K123+K145</f>
        <v>997.20300875337284</v>
      </c>
      <c r="L166" s="308">
        <f t="shared" si="122"/>
        <v>997.84302548986784</v>
      </c>
    </row>
    <row r="167" spans="1:12" x14ac:dyDescent="0.35">
      <c r="A167" s="130"/>
      <c r="B167" s="130"/>
      <c r="C167" s="295" t="str">
        <f t="shared" si="120"/>
        <v>Spine duct – single bore</v>
      </c>
      <c r="D167" s="308">
        <f t="shared" ref="D167:J170" si="123">D124+D146</f>
        <v>2638.9983245461317</v>
      </c>
      <c r="E167" s="308">
        <f t="shared" si="123"/>
        <v>2977.9297987332511</v>
      </c>
      <c r="F167" s="308">
        <f t="shared" si="123"/>
        <v>3188.1126068880458</v>
      </c>
      <c r="G167" s="308">
        <f t="shared" si="123"/>
        <v>3341.9763691619041</v>
      </c>
      <c r="H167" s="308">
        <f t="shared" si="123"/>
        <v>3465.0710416228121</v>
      </c>
      <c r="I167" s="308">
        <f t="shared" si="123"/>
        <v>3518.048945454254</v>
      </c>
      <c r="J167" s="308">
        <f t="shared" si="123"/>
        <v>3519.6049924498707</v>
      </c>
      <c r="K167" s="308">
        <f t="shared" ref="K167:L167" si="124">K124+K146</f>
        <v>3510.3568676496379</v>
      </c>
      <c r="L167" s="308">
        <f t="shared" si="124"/>
        <v>3497.9504661839374</v>
      </c>
    </row>
    <row r="168" spans="1:12" x14ac:dyDescent="0.35">
      <c r="A168" s="130"/>
      <c r="B168" s="130"/>
      <c r="C168" s="295" t="str">
        <f t="shared" si="120"/>
        <v>Spine duct – 2 bores</v>
      </c>
      <c r="D168" s="308">
        <f t="shared" si="123"/>
        <v>689.9235600554814</v>
      </c>
      <c r="E168" s="308">
        <f t="shared" si="123"/>
        <v>774.0016604295696</v>
      </c>
      <c r="F168" s="308">
        <f t="shared" si="123"/>
        <v>822.78697537313246</v>
      </c>
      <c r="G168" s="308">
        <f t="shared" si="123"/>
        <v>856.19486355652032</v>
      </c>
      <c r="H168" s="308">
        <f t="shared" si="123"/>
        <v>881.76003286319724</v>
      </c>
      <c r="I168" s="308">
        <f t="shared" si="123"/>
        <v>890.32506357671468</v>
      </c>
      <c r="J168" s="308">
        <f t="shared" si="123"/>
        <v>886.87080535349833</v>
      </c>
      <c r="K168" s="308">
        <f t="shared" ref="K168:L168" si="125">K125+K147</f>
        <v>880.73162275178152</v>
      </c>
      <c r="L168" s="308">
        <f t="shared" si="125"/>
        <v>875.77882486622298</v>
      </c>
    </row>
    <row r="169" spans="1:12" x14ac:dyDescent="0.35">
      <c r="A169" s="130"/>
      <c r="B169" s="130"/>
      <c r="C169" s="295" t="str">
        <f t="shared" si="120"/>
        <v>Spine duct – 3+ bores</v>
      </c>
      <c r="D169" s="308">
        <f t="shared" si="123"/>
        <v>998.6945948725056</v>
      </c>
      <c r="E169" s="308">
        <f t="shared" si="123"/>
        <v>1102.9316193049031</v>
      </c>
      <c r="F169" s="308">
        <f t="shared" si="123"/>
        <v>1156.0974486433352</v>
      </c>
      <c r="G169" s="308">
        <f t="shared" si="123"/>
        <v>1186.6640931449797</v>
      </c>
      <c r="H169" s="308">
        <f t="shared" si="123"/>
        <v>1206.2371248949639</v>
      </c>
      <c r="I169" s="308">
        <f t="shared" si="123"/>
        <v>1204.4158125716947</v>
      </c>
      <c r="J169" s="308">
        <f t="shared" si="123"/>
        <v>1188.9186318660854</v>
      </c>
      <c r="K169" s="308">
        <f t="shared" ref="K169:L169" si="126">K126+K148</f>
        <v>1171.0046974837517</v>
      </c>
      <c r="L169" s="308">
        <f t="shared" si="126"/>
        <v>1154.7408780827766</v>
      </c>
    </row>
    <row r="170" spans="1:12" x14ac:dyDescent="0.35">
      <c r="A170" s="130"/>
      <c r="B170" s="130"/>
      <c r="C170" s="295" t="str">
        <f t="shared" si="120"/>
        <v>Joint boxes</v>
      </c>
      <c r="D170" s="308">
        <f t="shared" si="123"/>
        <v>1204.7280781998056</v>
      </c>
      <c r="E170" s="308">
        <f t="shared" si="123"/>
        <v>1345.8294511156623</v>
      </c>
      <c r="F170" s="308">
        <f t="shared" si="123"/>
        <v>1426.0025453929966</v>
      </c>
      <c r="G170" s="308">
        <f t="shared" si="123"/>
        <v>1479.5318618043407</v>
      </c>
      <c r="H170" s="308">
        <f t="shared" si="123"/>
        <v>1519.4481939176317</v>
      </c>
      <c r="I170" s="308">
        <f t="shared" si="123"/>
        <v>1530.6009877652466</v>
      </c>
      <c r="J170" s="308">
        <f t="shared" si="123"/>
        <v>1521.7996983651251</v>
      </c>
      <c r="K170" s="308">
        <f t="shared" ref="K170:L170" si="127">K127+K149</f>
        <v>1508.7889705821763</v>
      </c>
      <c r="L170" s="308">
        <f t="shared" si="127"/>
        <v>1496.9292194311977</v>
      </c>
    </row>
    <row r="171" spans="1:12" x14ac:dyDescent="0.35">
      <c r="A171" s="130"/>
      <c r="B171" s="130"/>
      <c r="C171" s="295" t="str">
        <f t="shared" si="120"/>
        <v>Manholes</v>
      </c>
      <c r="D171" s="308">
        <f t="shared" ref="D171:J171" si="128">D128+D150</f>
        <v>893.40720859496207</v>
      </c>
      <c r="E171" s="308">
        <f t="shared" si="128"/>
        <v>1013.2933270368203</v>
      </c>
      <c r="F171" s="308">
        <f t="shared" si="128"/>
        <v>1087.4253278627039</v>
      </c>
      <c r="G171" s="308">
        <f t="shared" si="128"/>
        <v>1141.8302918275112</v>
      </c>
      <c r="H171" s="308">
        <f t="shared" si="128"/>
        <v>1185.8266110365594</v>
      </c>
      <c r="I171" s="308">
        <f t="shared" si="128"/>
        <v>1205.7808055901057</v>
      </c>
      <c r="J171" s="308">
        <f t="shared" si="128"/>
        <v>1207.8183431305624</v>
      </c>
      <c r="K171" s="308">
        <f t="shared" ref="K171:L171" si="129">K128+K150</f>
        <v>1205.4460069253453</v>
      </c>
      <c r="L171" s="308">
        <f t="shared" si="129"/>
        <v>1204.7719265547048</v>
      </c>
    </row>
    <row r="172" spans="1:12" x14ac:dyDescent="0.35">
      <c r="A172" s="130"/>
      <c r="B172" s="130"/>
      <c r="C172" s="208" t="str">
        <f t="shared" si="120"/>
        <v>Total</v>
      </c>
      <c r="D172" s="61">
        <f>SUM(D166:D171)</f>
        <v>7139.5048505591594</v>
      </c>
      <c r="E172" s="61">
        <f t="shared" ref="E172:J172" si="130">SUM(E166:E171)</f>
        <v>8027.2412570864262</v>
      </c>
      <c r="F172" s="61">
        <f t="shared" si="130"/>
        <v>8558.5565853521002</v>
      </c>
      <c r="G172" s="61">
        <f t="shared" si="130"/>
        <v>8934.1930316728449</v>
      </c>
      <c r="H172" s="61">
        <f t="shared" si="130"/>
        <v>9227.6998506876407</v>
      </c>
      <c r="I172" s="61">
        <f t="shared" si="130"/>
        <v>9339.4195057343895</v>
      </c>
      <c r="J172" s="61">
        <f t="shared" si="130"/>
        <v>9320.5135962010627</v>
      </c>
      <c r="K172" s="61">
        <f t="shared" ref="K172:L172" si="131">SUM(K166:K171)</f>
        <v>9273.5311741460646</v>
      </c>
      <c r="L172" s="61">
        <f t="shared" si="131"/>
        <v>9228.0143406087063</v>
      </c>
    </row>
    <row r="173" spans="1:12" x14ac:dyDescent="0.35">
      <c r="A173" s="241"/>
      <c r="B173" s="241"/>
      <c r="C173" s="130"/>
      <c r="D173" s="352" t="b">
        <f>ROUND(D172,1)=ROUND(D102,1)</f>
        <v>1</v>
      </c>
      <c r="E173" s="352" t="b">
        <f t="shared" ref="E173:J173" si="132">ROUND(E172,1)=ROUND(E102,1)</f>
        <v>1</v>
      </c>
      <c r="F173" s="352" t="b">
        <f t="shared" si="132"/>
        <v>1</v>
      </c>
      <c r="G173" s="352" t="b">
        <f t="shared" si="132"/>
        <v>1</v>
      </c>
      <c r="H173" s="352" t="b">
        <f t="shared" si="132"/>
        <v>1</v>
      </c>
      <c r="I173" s="352" t="b">
        <f t="shared" si="132"/>
        <v>1</v>
      </c>
      <c r="J173" s="352" t="b">
        <f t="shared" si="132"/>
        <v>1</v>
      </c>
      <c r="K173" s="352" t="b">
        <f t="shared" ref="K173:L173" si="133">ROUND(K172,1)=ROUND(K102,1)</f>
        <v>1</v>
      </c>
      <c r="L173" s="352" t="b">
        <f t="shared" si="133"/>
        <v>1</v>
      </c>
    </row>
  </sheetData>
  <conditionalFormatting sqref="D12">
    <cfRule type="cellIs" dxfId="14" priority="7" stopIfTrue="1" operator="notEqual">
      <formula>TRUE</formula>
    </cfRule>
  </conditionalFormatting>
  <conditionalFormatting sqref="D19">
    <cfRule type="cellIs" dxfId="13" priority="2" stopIfTrue="1" operator="notEqual">
      <formula>TRUE</formula>
    </cfRule>
  </conditionalFormatting>
  <conditionalFormatting sqref="D83:L83">
    <cfRule type="cellIs" dxfId="12" priority="3" stopIfTrue="1" operator="notEqual">
      <formula>TRUE</formula>
    </cfRule>
  </conditionalFormatting>
  <conditionalFormatting sqref="D105:L105">
    <cfRule type="cellIs" dxfId="11" priority="4" stopIfTrue="1" operator="notEqual">
      <formula>TRUE</formula>
    </cfRule>
  </conditionalFormatting>
  <conditionalFormatting sqref="D119:L119 D130:L130 D141:L141 D152:L152">
    <cfRule type="cellIs" dxfId="10" priority="6" stopIfTrue="1" operator="notEqual">
      <formula>TRUE</formula>
    </cfRule>
  </conditionalFormatting>
  <conditionalFormatting sqref="D164:L164 D173:L173">
    <cfRule type="cellIs" dxfId="9" priority="5" stopIfTrue="1" operator="notEqual">
      <formula>TRUE</formula>
    </cfRule>
  </conditionalFormatting>
  <printOptions horizontalCentered="1" verticalCentered="1"/>
  <pageMargins left="0.19685039370078741" right="0.19685039370078741" top="0.39370078740157483" bottom="0.39370078740157483" header="0.19685039370078741" footer="0.19685039370078741"/>
  <pageSetup paperSize="9" scale="70" orientation="landscape" r:id="rId1"/>
  <headerFooter>
    <oddHeader>&amp;L&amp;"Calibri"&amp;11&amp;K000000File: &amp;F Sheet: &amp;A&amp;CPage &amp;P of &amp;N&amp;R&amp;"Calibri"&amp;11&amp;K000000File: &amp;F Sheet: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42BF-E05C-406F-8C4B-94D71B9E17EF}">
  <sheetPr codeName="Sheet14"/>
  <dimension ref="A1:R143"/>
  <sheetViews>
    <sheetView showGridLines="0" zoomScale="85" zoomScaleNormal="85" workbookViewId="0">
      <selection activeCell="O4" sqref="O4"/>
    </sheetView>
  </sheetViews>
  <sheetFormatPr defaultRowHeight="14.5" x14ac:dyDescent="0.35"/>
  <cols>
    <col min="1" max="1" width="3.1796875" customWidth="1"/>
    <col min="2" max="2" width="17.7265625" customWidth="1"/>
    <col min="3" max="3" width="42.1796875" bestFit="1" customWidth="1"/>
    <col min="4" max="6" width="13" customWidth="1"/>
    <col min="7" max="8" width="13.1796875" bestFit="1" customWidth="1"/>
    <col min="9" max="9" width="12.7265625" customWidth="1"/>
    <col min="10" max="10" width="13.7265625" customWidth="1"/>
    <col min="11" max="12" width="13.7265625" style="195" customWidth="1"/>
    <col min="13" max="13" width="12.7265625" customWidth="1"/>
    <col min="14" max="14" width="2.81640625" customWidth="1"/>
    <col min="15" max="15" width="11" customWidth="1"/>
    <col min="16" max="16" width="2.81640625" customWidth="1"/>
  </cols>
  <sheetData>
    <row r="1" spans="1:15" ht="21" x14ac:dyDescent="0.5">
      <c r="A1" s="100" t="s">
        <v>156</v>
      </c>
    </row>
    <row r="3" spans="1:15" s="33" customFormat="1" ht="15.5" x14ac:dyDescent="0.35">
      <c r="A3" s="11" t="s">
        <v>142</v>
      </c>
      <c r="D3" s="39" t="str">
        <f>'D&amp;C Cost Forecasts'!D108</f>
        <v>2022/23</v>
      </c>
      <c r="E3" s="39" t="str">
        <f>'D&amp;C Cost Forecasts'!E108</f>
        <v>2023/24</v>
      </c>
      <c r="F3" s="39" t="str">
        <f>'D&amp;C Cost Forecasts'!F108</f>
        <v>2024/25</v>
      </c>
      <c r="G3" s="39" t="str">
        <f>'D&amp;C Cost Forecasts'!G108</f>
        <v>2025/26</v>
      </c>
      <c r="H3" s="39" t="str">
        <f>'D&amp;C Cost Forecasts'!H108</f>
        <v>2026/27</v>
      </c>
      <c r="I3" s="39" t="str">
        <f>'D&amp;C Cost Forecasts'!I108</f>
        <v>2027/28</v>
      </c>
      <c r="J3" s="39" t="str">
        <f>'D&amp;C Cost Forecasts'!J108</f>
        <v>2028/29</v>
      </c>
      <c r="K3" s="39" t="str">
        <f>'D&amp;C Cost Forecasts'!K108</f>
        <v>2029/30</v>
      </c>
      <c r="L3" s="39" t="str">
        <f>'D&amp;C Cost Forecasts'!L108</f>
        <v>2030/31</v>
      </c>
      <c r="O3" s="213" t="s">
        <v>41</v>
      </c>
    </row>
    <row r="4" spans="1:15" s="33" customFormat="1" ht="13" x14ac:dyDescent="0.3">
      <c r="K4" s="196"/>
      <c r="L4" s="196"/>
    </row>
    <row r="5" spans="1:15" s="33" customFormat="1" ht="13" x14ac:dyDescent="0.3">
      <c r="B5" s="33" t="str">
        <f>'D&amp;C Cost Forecasts'!B157</f>
        <v>Total CCA Costs</v>
      </c>
      <c r="C5" s="69" t="str">
        <f>'D&amp;C Cost Forecasts'!C157</f>
        <v>Lead-in duct</v>
      </c>
      <c r="D5" s="61">
        <f>'D&amp;C Cost Forecasts'!D157</f>
        <v>-53.239623051495954</v>
      </c>
      <c r="E5" s="61">
        <f>'D&amp;C Cost Forecasts'!E157</f>
        <v>-17.629925146986395</v>
      </c>
      <c r="F5" s="61">
        <f>'D&amp;C Cost Forecasts'!F157</f>
        <v>16.468626907361347</v>
      </c>
      <c r="G5" s="61">
        <f>'D&amp;C Cost Forecasts'!G157</f>
        <v>16.325404039772003</v>
      </c>
      <c r="H5" s="61">
        <f>'D&amp;C Cost Forecasts'!H157</f>
        <v>31.789824239430519</v>
      </c>
      <c r="I5" s="61">
        <f>'D&amp;C Cost Forecasts'!I157</f>
        <v>33.209111679299482</v>
      </c>
      <c r="J5" s="61">
        <f>'D&amp;C Cost Forecasts'!J157</f>
        <v>32.820099703542972</v>
      </c>
      <c r="K5" s="61">
        <f>'D&amp;C Cost Forecasts'!K157</f>
        <v>31.454802447484248</v>
      </c>
      <c r="L5" s="61">
        <f>'D&amp;C Cost Forecasts'!L157</f>
        <v>32.801550721659382</v>
      </c>
    </row>
    <row r="6" spans="1:15" s="33" customFormat="1" ht="13" x14ac:dyDescent="0.3">
      <c r="C6" s="69" t="str">
        <f>'D&amp;C Cost Forecasts'!C158</f>
        <v>Spine duct – single bore</v>
      </c>
      <c r="D6" s="61">
        <f>'D&amp;C Cost Forecasts'!D158</f>
        <v>-192.60862931348186</v>
      </c>
      <c r="E6" s="61">
        <f>'D&amp;C Cost Forecasts'!E158</f>
        <v>-58.794373551461938</v>
      </c>
      <c r="F6" s="61">
        <f>'D&amp;C Cost Forecasts'!F158</f>
        <v>66.643816721500841</v>
      </c>
      <c r="G6" s="61">
        <f>'D&amp;C Cost Forecasts'!G158</f>
        <v>66.574361787342525</v>
      </c>
      <c r="H6" s="61">
        <f>'D&amp;C Cost Forecasts'!H158</f>
        <v>122.37657526814212</v>
      </c>
      <c r="I6" s="61">
        <f>'D&amp;C Cost Forecasts'!I158</f>
        <v>127.52576946370101</v>
      </c>
      <c r="J6" s="61">
        <f>'D&amp;C Cost Forecasts'!J158</f>
        <v>125.60024523847069</v>
      </c>
      <c r="K6" s="61">
        <f>'D&amp;C Cost Forecasts'!K158</f>
        <v>119.82348960245044</v>
      </c>
      <c r="L6" s="61">
        <f>'D&amp;C Cost Forecasts'!L158</f>
        <v>124.72344823038318</v>
      </c>
    </row>
    <row r="7" spans="1:15" s="33" customFormat="1" ht="13" x14ac:dyDescent="0.3">
      <c r="C7" s="69" t="str">
        <f>'D&amp;C Cost Forecasts'!C159</f>
        <v>Spine duct – 2 bores</v>
      </c>
      <c r="D7" s="61">
        <f>'D&amp;C Cost Forecasts'!D159</f>
        <v>-50.189952000277948</v>
      </c>
      <c r="E7" s="61">
        <f>'D&amp;C Cost Forecasts'!E159</f>
        <v>-14.954449562463745</v>
      </c>
      <c r="F7" s="61">
        <f>'D&amp;C Cost Forecasts'!F159</f>
        <v>17.717776636993932</v>
      </c>
      <c r="G7" s="61">
        <f>'D&amp;C Cost Forecasts'!G159</f>
        <v>17.772018012717641</v>
      </c>
      <c r="H7" s="61">
        <f>'D&amp;C Cost Forecasts'!H159</f>
        <v>32.055183781868756</v>
      </c>
      <c r="I7" s="61">
        <f>'D&amp;C Cost Forecasts'!I159</f>
        <v>33.354688023201071</v>
      </c>
      <c r="J7" s="61">
        <f>'D&amp;C Cost Forecasts'!J159</f>
        <v>32.790950259666126</v>
      </c>
      <c r="K7" s="61">
        <f>'D&amp;C Cost Forecasts'!K159</f>
        <v>31.204919594774431</v>
      </c>
      <c r="L7" s="61">
        <f>'D&amp;C Cost Forecasts'!L159</f>
        <v>32.454270279061255</v>
      </c>
    </row>
    <row r="8" spans="1:15" s="33" customFormat="1" ht="13" x14ac:dyDescent="0.3">
      <c r="C8" s="69" t="str">
        <f>'D&amp;C Cost Forecasts'!C160</f>
        <v>Spine duct – 3+ bores</v>
      </c>
      <c r="D8" s="61">
        <f>'D&amp;C Cost Forecasts'!D160</f>
        <v>-69.948020696166537</v>
      </c>
      <c r="E8" s="61">
        <f>'D&amp;C Cost Forecasts'!E160</f>
        <v>-17.619495948721916</v>
      </c>
      <c r="F8" s="61">
        <f>'D&amp;C Cost Forecasts'!F160</f>
        <v>29.297795600560022</v>
      </c>
      <c r="G8" s="61">
        <f>'D&amp;C Cost Forecasts'!G160</f>
        <v>29.653742307615232</v>
      </c>
      <c r="H8" s="61">
        <f>'D&amp;C Cost Forecasts'!H160</f>
        <v>49.526465149573312</v>
      </c>
      <c r="I8" s="61">
        <f>'D&amp;C Cost Forecasts'!I160</f>
        <v>51.357294667325789</v>
      </c>
      <c r="J8" s="61">
        <f>'D&amp;C Cost Forecasts'!J160</f>
        <v>50.242333157877496</v>
      </c>
      <c r="K8" s="61">
        <f>'D&amp;C Cost Forecasts'!K160</f>
        <v>47.495141287130529</v>
      </c>
      <c r="L8" s="61">
        <f>'D&amp;C Cost Forecasts'!L160</f>
        <v>49.261319659938117</v>
      </c>
    </row>
    <row r="9" spans="1:15" s="33" customFormat="1" ht="13" x14ac:dyDescent="0.3">
      <c r="C9" s="69" t="str">
        <f>'D&amp;C Cost Forecasts'!C161</f>
        <v>Joint boxes</v>
      </c>
      <c r="D9" s="61">
        <f>'D&amp;C Cost Forecasts'!D161</f>
        <v>-86.536828051475538</v>
      </c>
      <c r="E9" s="61">
        <f>'D&amp;C Cost Forecasts'!E161</f>
        <v>-24.539237688457828</v>
      </c>
      <c r="F9" s="61">
        <f>'D&amp;C Cost Forecasts'!F161</f>
        <v>32.398352268852157</v>
      </c>
      <c r="G9" s="61">
        <f>'D&amp;C Cost Forecasts'!G161</f>
        <v>32.582595795554688</v>
      </c>
      <c r="H9" s="61">
        <f>'D&amp;C Cost Forecasts'!H161</f>
        <v>57.303579535558903</v>
      </c>
      <c r="I9" s="61">
        <f>'D&amp;C Cost Forecasts'!I161</f>
        <v>59.571583212742915</v>
      </c>
      <c r="J9" s="61">
        <f>'D&amp;C Cost Forecasts'!J161</f>
        <v>58.484276827334206</v>
      </c>
      <c r="K9" s="61">
        <f>'D&amp;C Cost Forecasts'!K161</f>
        <v>55.551661258280632</v>
      </c>
      <c r="L9" s="61">
        <f>'D&amp;C Cost Forecasts'!L161</f>
        <v>57.728572007228635</v>
      </c>
    </row>
    <row r="10" spans="1:15" s="33" customFormat="1" ht="13" x14ac:dyDescent="0.3">
      <c r="C10" s="70" t="str">
        <f>'D&amp;C Cost Forecasts'!C162</f>
        <v>Manholes</v>
      </c>
      <c r="D10" s="275">
        <f>'D&amp;C Cost Forecasts'!D162</f>
        <v>-66.71142547625675</v>
      </c>
      <c r="E10" s="275">
        <f>'D&amp;C Cost Forecasts'!E162</f>
        <v>-21.92032096348364</v>
      </c>
      <c r="F10" s="275">
        <f>'D&amp;C Cost Forecasts'!F162</f>
        <v>20.625209015088576</v>
      </c>
      <c r="G10" s="275">
        <f>'D&amp;C Cost Forecasts'!G162</f>
        <v>20.520708943960472</v>
      </c>
      <c r="H10" s="275">
        <f>'D&amp;C Cost Forecasts'!H162</f>
        <v>39.519458072472062</v>
      </c>
      <c r="I10" s="275">
        <f>'D&amp;C Cost Forecasts'!I162</f>
        <v>41.232582671077331</v>
      </c>
      <c r="J10" s="275">
        <f>'D&amp;C Cost Forecasts'!J162</f>
        <v>40.690779599126216</v>
      </c>
      <c r="K10" s="275">
        <f>'D&amp;C Cost Forecasts'!K162</f>
        <v>38.921751238487495</v>
      </c>
      <c r="L10" s="275">
        <f>'D&amp;C Cost Forecasts'!L162</f>
        <v>40.565452734946007</v>
      </c>
    </row>
    <row r="11" spans="1:15" s="33" customFormat="1" ht="13" x14ac:dyDescent="0.3">
      <c r="C11" s="69" t="str">
        <f>'D&amp;C Cost Forecasts'!C163</f>
        <v>Total</v>
      </c>
      <c r="D11" s="61">
        <f>'D&amp;C Cost Forecasts'!D163</f>
        <v>-519.23447858915461</v>
      </c>
      <c r="E11" s="61">
        <f>'D&amp;C Cost Forecasts'!E163</f>
        <v>-155.45780286157546</v>
      </c>
      <c r="F11" s="61">
        <f>'D&amp;C Cost Forecasts'!F163</f>
        <v>183.1515771503569</v>
      </c>
      <c r="G11" s="61">
        <f>'D&amp;C Cost Forecasts'!G163</f>
        <v>183.42883088696254</v>
      </c>
      <c r="H11" s="61">
        <f>'D&amp;C Cost Forecasts'!H163</f>
        <v>332.57108604704564</v>
      </c>
      <c r="I11" s="61">
        <f>'D&amp;C Cost Forecasts'!I163</f>
        <v>346.25102971734765</v>
      </c>
      <c r="J11" s="61">
        <f>'D&amp;C Cost Forecasts'!J163</f>
        <v>340.62868478601774</v>
      </c>
      <c r="K11" s="61">
        <f>'D&amp;C Cost Forecasts'!K163</f>
        <v>324.45176542860776</v>
      </c>
      <c r="L11" s="61">
        <f>'D&amp;C Cost Forecasts'!L163</f>
        <v>337.53461363321657</v>
      </c>
      <c r="M11" s="196"/>
    </row>
    <row r="12" spans="1:15" s="33" customFormat="1" x14ac:dyDescent="0.35">
      <c r="D12" s="352" t="b">
        <f>D11=SUM(D5:D10)</f>
        <v>1</v>
      </c>
      <c r="E12" s="352" t="b">
        <f t="shared" ref="E12:J12" si="0">E11=SUM(E5:E10)</f>
        <v>1</v>
      </c>
      <c r="F12" s="352" t="b">
        <f t="shared" si="0"/>
        <v>1</v>
      </c>
      <c r="G12" s="352" t="b">
        <f t="shared" si="0"/>
        <v>1</v>
      </c>
      <c r="H12" s="352" t="b">
        <f t="shared" si="0"/>
        <v>1</v>
      </c>
      <c r="I12" s="352" t="b">
        <f t="shared" si="0"/>
        <v>1</v>
      </c>
      <c r="J12" s="352" t="b">
        <f t="shared" si="0"/>
        <v>1</v>
      </c>
      <c r="K12" s="352" t="b">
        <f t="shared" ref="K12:L12" si="1">K11=SUM(K5:K10)</f>
        <v>1</v>
      </c>
      <c r="L12" s="352" t="b">
        <f t="shared" si="1"/>
        <v>1</v>
      </c>
      <c r="M12" s="196"/>
    </row>
    <row r="13" spans="1:15" s="33" customFormat="1" ht="13" x14ac:dyDescent="0.3">
      <c r="K13" s="196"/>
      <c r="L13" s="196"/>
      <c r="M13" s="196"/>
    </row>
    <row r="14" spans="1:15" s="33" customFormat="1" ht="13" x14ac:dyDescent="0.3">
      <c r="B14" s="33" t="str">
        <f>'D&amp;C Cost Forecasts'!B166</f>
        <v>Total MCE</v>
      </c>
      <c r="C14" s="69" t="str">
        <f>'D&amp;C Cost Forecasts'!C166</f>
        <v>Lead-in duct</v>
      </c>
      <c r="D14" s="63">
        <f>'D&amp;C Cost Forecasts'!D166</f>
        <v>713.7530842902745</v>
      </c>
      <c r="E14" s="63">
        <f>'D&amp;C Cost Forecasts'!E166</f>
        <v>813.25540046621973</v>
      </c>
      <c r="F14" s="63">
        <f>'D&amp;C Cost Forecasts'!F166</f>
        <v>878.13168119188754</v>
      </c>
      <c r="G14" s="63">
        <f>'D&amp;C Cost Forecasts'!G166</f>
        <v>927.99555217758927</v>
      </c>
      <c r="H14" s="63">
        <f>'D&amp;C Cost Forecasts'!H166</f>
        <v>969.35684635247776</v>
      </c>
      <c r="I14" s="63">
        <f>'D&amp;C Cost Forecasts'!I166</f>
        <v>990.24789077637365</v>
      </c>
      <c r="J14" s="63">
        <f>'D&amp;C Cost Forecasts'!J166</f>
        <v>995.5011250359205</v>
      </c>
      <c r="K14" s="63">
        <f>'D&amp;C Cost Forecasts'!K166</f>
        <v>997.20300875337284</v>
      </c>
      <c r="L14" s="63">
        <f>'D&amp;C Cost Forecasts'!L166</f>
        <v>997.84302548986784</v>
      </c>
      <c r="M14" s="196"/>
    </row>
    <row r="15" spans="1:15" s="33" customFormat="1" ht="13" x14ac:dyDescent="0.3">
      <c r="C15" s="69" t="str">
        <f>'D&amp;C Cost Forecasts'!C167</f>
        <v>Spine duct – single bore</v>
      </c>
      <c r="D15" s="63">
        <f>'D&amp;C Cost Forecasts'!D167</f>
        <v>2638.9983245461317</v>
      </c>
      <c r="E15" s="63">
        <f>'D&amp;C Cost Forecasts'!E167</f>
        <v>2977.9297987332511</v>
      </c>
      <c r="F15" s="63">
        <f>'D&amp;C Cost Forecasts'!F167</f>
        <v>3188.1126068880458</v>
      </c>
      <c r="G15" s="63">
        <f>'D&amp;C Cost Forecasts'!G167</f>
        <v>3341.9763691619041</v>
      </c>
      <c r="H15" s="63">
        <f>'D&amp;C Cost Forecasts'!H167</f>
        <v>3465.0710416228121</v>
      </c>
      <c r="I15" s="63">
        <f>'D&amp;C Cost Forecasts'!I167</f>
        <v>3518.048945454254</v>
      </c>
      <c r="J15" s="63">
        <f>'D&amp;C Cost Forecasts'!J167</f>
        <v>3519.6049924498707</v>
      </c>
      <c r="K15" s="63">
        <f>'D&amp;C Cost Forecasts'!K167</f>
        <v>3510.3568676496379</v>
      </c>
      <c r="L15" s="63">
        <f>'D&amp;C Cost Forecasts'!L167</f>
        <v>3497.9504661839374</v>
      </c>
      <c r="M15" s="196"/>
    </row>
    <row r="16" spans="1:15" s="33" customFormat="1" ht="13" x14ac:dyDescent="0.3">
      <c r="C16" s="69" t="str">
        <f>'D&amp;C Cost Forecasts'!C168</f>
        <v>Spine duct – 2 bores</v>
      </c>
      <c r="D16" s="63">
        <f>'D&amp;C Cost Forecasts'!D168</f>
        <v>689.9235600554814</v>
      </c>
      <c r="E16" s="63">
        <f>'D&amp;C Cost Forecasts'!E168</f>
        <v>774.0016604295696</v>
      </c>
      <c r="F16" s="63">
        <f>'D&amp;C Cost Forecasts'!F168</f>
        <v>822.78697537313246</v>
      </c>
      <c r="G16" s="63">
        <f>'D&amp;C Cost Forecasts'!G168</f>
        <v>856.19486355652032</v>
      </c>
      <c r="H16" s="63">
        <f>'D&amp;C Cost Forecasts'!H168</f>
        <v>881.76003286319724</v>
      </c>
      <c r="I16" s="63">
        <f>'D&amp;C Cost Forecasts'!I168</f>
        <v>890.32506357671468</v>
      </c>
      <c r="J16" s="63">
        <f>'D&amp;C Cost Forecasts'!J168</f>
        <v>886.87080535349833</v>
      </c>
      <c r="K16" s="63">
        <f>'D&amp;C Cost Forecasts'!K168</f>
        <v>880.73162275178152</v>
      </c>
      <c r="L16" s="63">
        <f>'D&amp;C Cost Forecasts'!L168</f>
        <v>875.77882486622298</v>
      </c>
      <c r="M16" s="196"/>
    </row>
    <row r="17" spans="2:13" s="33" customFormat="1" ht="13" x14ac:dyDescent="0.3">
      <c r="C17" s="69" t="str">
        <f>'D&amp;C Cost Forecasts'!C169</f>
        <v>Spine duct – 3+ bores</v>
      </c>
      <c r="D17" s="63">
        <f>'D&amp;C Cost Forecasts'!D169</f>
        <v>998.6945948725056</v>
      </c>
      <c r="E17" s="63">
        <f>'D&amp;C Cost Forecasts'!E169</f>
        <v>1102.9316193049031</v>
      </c>
      <c r="F17" s="63">
        <f>'D&amp;C Cost Forecasts'!F169</f>
        <v>1156.0974486433352</v>
      </c>
      <c r="G17" s="63">
        <f>'D&amp;C Cost Forecasts'!G169</f>
        <v>1186.6640931449797</v>
      </c>
      <c r="H17" s="63">
        <f>'D&amp;C Cost Forecasts'!H169</f>
        <v>1206.2371248949639</v>
      </c>
      <c r="I17" s="63">
        <f>'D&amp;C Cost Forecasts'!I169</f>
        <v>1204.4158125716947</v>
      </c>
      <c r="J17" s="63">
        <f>'D&amp;C Cost Forecasts'!J169</f>
        <v>1188.9186318660854</v>
      </c>
      <c r="K17" s="63">
        <f>'D&amp;C Cost Forecasts'!K169</f>
        <v>1171.0046974837517</v>
      </c>
      <c r="L17" s="63">
        <f>'D&amp;C Cost Forecasts'!L169</f>
        <v>1154.7408780827766</v>
      </c>
      <c r="M17" s="196"/>
    </row>
    <row r="18" spans="2:13" s="33" customFormat="1" ht="13" x14ac:dyDescent="0.3">
      <c r="C18" s="69" t="str">
        <f>'D&amp;C Cost Forecasts'!C170</f>
        <v>Joint boxes</v>
      </c>
      <c r="D18" s="63">
        <f>'D&amp;C Cost Forecasts'!D170</f>
        <v>1204.7280781998056</v>
      </c>
      <c r="E18" s="63">
        <f>'D&amp;C Cost Forecasts'!E170</f>
        <v>1345.8294511156623</v>
      </c>
      <c r="F18" s="63">
        <f>'D&amp;C Cost Forecasts'!F170</f>
        <v>1426.0025453929966</v>
      </c>
      <c r="G18" s="63">
        <f>'D&amp;C Cost Forecasts'!G170</f>
        <v>1479.5318618043407</v>
      </c>
      <c r="H18" s="63">
        <f>'D&amp;C Cost Forecasts'!H170</f>
        <v>1519.4481939176317</v>
      </c>
      <c r="I18" s="63">
        <f>'D&amp;C Cost Forecasts'!I170</f>
        <v>1530.6009877652466</v>
      </c>
      <c r="J18" s="63">
        <f>'D&amp;C Cost Forecasts'!J170</f>
        <v>1521.7996983651251</v>
      </c>
      <c r="K18" s="63">
        <f>'D&amp;C Cost Forecasts'!K170</f>
        <v>1508.7889705821763</v>
      </c>
      <c r="L18" s="63">
        <f>'D&amp;C Cost Forecasts'!L170</f>
        <v>1496.9292194311977</v>
      </c>
      <c r="M18" s="196"/>
    </row>
    <row r="19" spans="2:13" s="33" customFormat="1" ht="13" x14ac:dyDescent="0.3">
      <c r="C19" s="70" t="str">
        <f>'D&amp;C Cost Forecasts'!C171</f>
        <v>Manholes</v>
      </c>
      <c r="D19" s="66">
        <f>'D&amp;C Cost Forecasts'!D171</f>
        <v>893.40720859496207</v>
      </c>
      <c r="E19" s="66">
        <f>'D&amp;C Cost Forecasts'!E171</f>
        <v>1013.2933270368203</v>
      </c>
      <c r="F19" s="66">
        <f>'D&amp;C Cost Forecasts'!F171</f>
        <v>1087.4253278627039</v>
      </c>
      <c r="G19" s="66">
        <f>'D&amp;C Cost Forecasts'!G171</f>
        <v>1141.8302918275112</v>
      </c>
      <c r="H19" s="66">
        <f>'D&amp;C Cost Forecasts'!H171</f>
        <v>1185.8266110365594</v>
      </c>
      <c r="I19" s="66">
        <f>'D&amp;C Cost Forecasts'!I171</f>
        <v>1205.7808055901057</v>
      </c>
      <c r="J19" s="66">
        <f>'D&amp;C Cost Forecasts'!J171</f>
        <v>1207.8183431305624</v>
      </c>
      <c r="K19" s="66">
        <f>'D&amp;C Cost Forecasts'!K171</f>
        <v>1205.4460069253453</v>
      </c>
      <c r="L19" s="66">
        <f>'D&amp;C Cost Forecasts'!L171</f>
        <v>1204.7719265547048</v>
      </c>
      <c r="M19" s="196"/>
    </row>
    <row r="20" spans="2:13" s="33" customFormat="1" ht="13" x14ac:dyDescent="0.3">
      <c r="C20" s="69" t="str">
        <f>'D&amp;C Cost Forecasts'!C172</f>
        <v>Total</v>
      </c>
      <c r="D20" s="63">
        <f>'D&amp;C Cost Forecasts'!D172</f>
        <v>7139.5048505591594</v>
      </c>
      <c r="E20" s="63">
        <f>'D&amp;C Cost Forecasts'!E172</f>
        <v>8027.2412570864262</v>
      </c>
      <c r="F20" s="63">
        <f>'D&amp;C Cost Forecasts'!F172</f>
        <v>8558.5565853521002</v>
      </c>
      <c r="G20" s="63">
        <f>'D&amp;C Cost Forecasts'!G172</f>
        <v>8934.1930316728449</v>
      </c>
      <c r="H20" s="63">
        <f>'D&amp;C Cost Forecasts'!H172</f>
        <v>9227.6998506876407</v>
      </c>
      <c r="I20" s="63">
        <f>'D&amp;C Cost Forecasts'!I172</f>
        <v>9339.4195057343895</v>
      </c>
      <c r="J20" s="63">
        <f>'D&amp;C Cost Forecasts'!J172</f>
        <v>9320.5135962010627</v>
      </c>
      <c r="K20" s="63">
        <f>'D&amp;C Cost Forecasts'!K172</f>
        <v>9273.5311741460646</v>
      </c>
      <c r="L20" s="63">
        <f>'D&amp;C Cost Forecasts'!L172</f>
        <v>9228.0143406087063</v>
      </c>
      <c r="M20" s="196"/>
    </row>
    <row r="21" spans="2:13" s="33" customFormat="1" x14ac:dyDescent="0.35">
      <c r="D21" s="352" t="b">
        <f>D20=SUM(D14:D19)</f>
        <v>1</v>
      </c>
      <c r="E21" s="352" t="b">
        <f t="shared" ref="E21:J21" si="2">E20=SUM(E14:E19)</f>
        <v>1</v>
      </c>
      <c r="F21" s="352" t="b">
        <f t="shared" si="2"/>
        <v>1</v>
      </c>
      <c r="G21" s="352" t="b">
        <f t="shared" si="2"/>
        <v>1</v>
      </c>
      <c r="H21" s="352" t="b">
        <f t="shared" si="2"/>
        <v>1</v>
      </c>
      <c r="I21" s="352" t="b">
        <f t="shared" si="2"/>
        <v>1</v>
      </c>
      <c r="J21" s="352" t="b">
        <f t="shared" si="2"/>
        <v>1</v>
      </c>
      <c r="K21" s="352" t="b">
        <f t="shared" ref="K21:L21" si="3">K20=SUM(K14:K19)</f>
        <v>1</v>
      </c>
      <c r="L21" s="352" t="b">
        <f t="shared" si="3"/>
        <v>1</v>
      </c>
      <c r="M21" s="196"/>
    </row>
    <row r="22" spans="2:13" s="33" customFormat="1" ht="13" x14ac:dyDescent="0.3">
      <c r="K22" s="196"/>
      <c r="L22" s="196"/>
    </row>
    <row r="23" spans="2:13" s="33" customFormat="1" ht="13" x14ac:dyDescent="0.3">
      <c r="B23" s="33" t="s">
        <v>26</v>
      </c>
      <c r="C23" s="69" t="str">
        <f>'D&amp;C Vols'!A24</f>
        <v>Lead-in duct</v>
      </c>
      <c r="D23" s="49">
        <f>INDEX('D&amp;C Vols'!$A$23:$L$29,MATCH($C23,'D&amp;C Vols'!$A$23:$A$29,0),MATCH(D$3,'D&amp;C Vols'!$A$23:$L$23,0))</f>
        <v>94949.487283155322</v>
      </c>
      <c r="E23" s="49">
        <f>INDEX('D&amp;C Vols'!$A$23:$L$29,MATCH($C23,'D&amp;C Vols'!$A$23:$A$29,0),MATCH(E$3,'D&amp;C Vols'!$A$23:$L$23,0))</f>
        <v>96144.834900335845</v>
      </c>
      <c r="F23" s="49">
        <f>INDEX('D&amp;C Vols'!$A$23:$L$29,MATCH($C23,'D&amp;C Vols'!$A$23:$A$29,0),MATCH(F$3,'D&amp;C Vols'!$A$23:$L$23,0))</f>
        <v>97419.541574727482</v>
      </c>
      <c r="G23" s="49">
        <f>INDEX('D&amp;C Vols'!$A$23:$L$29,MATCH($C23,'D&amp;C Vols'!$A$23:$A$29,0),MATCH(G$3,'D&amp;C Vols'!$A$23:$L$23,0))</f>
        <v>98531.143183707027</v>
      </c>
      <c r="H23" s="49">
        <f>INDEX('D&amp;C Vols'!$A$23:$L$29,MATCH($C23,'D&amp;C Vols'!$A$23:$A$29,0),MATCH(H$3,'D&amp;C Vols'!$A$23:$L$23,0))</f>
        <v>99380.947293615842</v>
      </c>
      <c r="I23" s="49">
        <f>INDEX('D&amp;C Vols'!$A$23:$L$29,MATCH($C23,'D&amp;C Vols'!$A$23:$A$29,0),MATCH(I$3,'D&amp;C Vols'!$A$23:$L$23,0))</f>
        <v>99967.909198111171</v>
      </c>
      <c r="J23" s="49">
        <f>INDEX('D&amp;C Vols'!$A$23:$L$29,MATCH($C23,'D&amp;C Vols'!$A$23:$A$29,0),MATCH(J$3,'D&amp;C Vols'!$A$23:$L$23,0))</f>
        <v>100377.16406561405</v>
      </c>
      <c r="K23" s="49">
        <f>INDEX('D&amp;C Vols'!$A$23:$L$29,MATCH($C23,'D&amp;C Vols'!$A$23:$A$29,0),MATCH(K$3,'D&amp;C Vols'!$A$23:$L$23,0))</f>
        <v>100788.52849428961</v>
      </c>
      <c r="L23" s="49">
        <f>INDEX('D&amp;C Vols'!$A$23:$L$29,MATCH($C23,'D&amp;C Vols'!$A$23:$A$29,0),MATCH(L$3,'D&amp;C Vols'!$A$23:$L$23,0))</f>
        <v>100788.52849428961</v>
      </c>
    </row>
    <row r="24" spans="2:13" s="33" customFormat="1" ht="13" x14ac:dyDescent="0.3">
      <c r="C24" s="69" t="str">
        <f>'D&amp;C Vols'!A25</f>
        <v>Spine duct – single bore</v>
      </c>
      <c r="D24" s="49">
        <f>INDEX('D&amp;C Vols'!$A$23:$L$29,MATCH($C24,'D&amp;C Vols'!$A$23:$A$29,0),MATCH(D$3,'D&amp;C Vols'!$A$23:$L$23,0))</f>
        <v>312006.24983483442</v>
      </c>
      <c r="E24" s="49">
        <f>INDEX('D&amp;C Vols'!$A$23:$L$29,MATCH($C24,'D&amp;C Vols'!$A$23:$A$29,0),MATCH(E$3,'D&amp;C Vols'!$A$23:$L$23,0))</f>
        <v>315934.19023722206</v>
      </c>
      <c r="F24" s="49">
        <f>INDEX('D&amp;C Vols'!$A$23:$L$29,MATCH($C24,'D&amp;C Vols'!$A$23:$A$29,0),MATCH(F$3,'D&amp;C Vols'!$A$23:$L$23,0))</f>
        <v>320122.90636930935</v>
      </c>
      <c r="G24" s="49">
        <f>INDEX('D&amp;C Vols'!$A$23:$L$29,MATCH($C24,'D&amp;C Vols'!$A$23:$A$29,0),MATCH(G$3,'D&amp;C Vols'!$A$23:$L$23,0))</f>
        <v>323775.65541779844</v>
      </c>
      <c r="H24" s="49">
        <f>INDEX('D&amp;C Vols'!$A$23:$L$29,MATCH($C24,'D&amp;C Vols'!$A$23:$A$29,0),MATCH(H$3,'D&amp;C Vols'!$A$23:$L$23,0))</f>
        <v>326568.13172297506</v>
      </c>
      <c r="I24" s="49">
        <f>INDEX('D&amp;C Vols'!$A$23:$L$29,MATCH($C24,'D&amp;C Vols'!$A$23:$A$29,0),MATCH(I$3,'D&amp;C Vols'!$A$23:$L$23,0))</f>
        <v>328496.90235520981</v>
      </c>
      <c r="J24" s="49">
        <f>INDEX('D&amp;C Vols'!$A$23:$L$29,MATCH($C24,'D&amp;C Vols'!$A$23:$A$29,0),MATCH(J$3,'D&amp;C Vols'!$A$23:$L$23,0))</f>
        <v>329841.72348157811</v>
      </c>
      <c r="K24" s="49">
        <f>INDEX('D&amp;C Vols'!$A$23:$L$29,MATCH($C24,'D&amp;C Vols'!$A$23:$A$29,0),MATCH(K$3,'D&amp;C Vols'!$A$23:$L$23,0))</f>
        <v>331193.47667560802</v>
      </c>
      <c r="L24" s="49">
        <f>INDEX('D&amp;C Vols'!$A$23:$L$29,MATCH($C24,'D&amp;C Vols'!$A$23:$A$29,0),MATCH(L$3,'D&amp;C Vols'!$A$23:$L$23,0))</f>
        <v>331193.47667560802</v>
      </c>
    </row>
    <row r="25" spans="2:13" s="33" customFormat="1" ht="13" x14ac:dyDescent="0.3">
      <c r="C25" s="69" t="str">
        <f>'D&amp;C Vols'!A26</f>
        <v>Spine duct – 2 bores</v>
      </c>
      <c r="D25" s="49">
        <f>INDEX('D&amp;C Vols'!$A$23:$L$29,MATCH($C25,'D&amp;C Vols'!$A$23:$A$29,0),MATCH(D$3,'D&amp;C Vols'!$A$23:$L$23,0))</f>
        <v>57180.729725936959</v>
      </c>
      <c r="E25" s="49">
        <f>INDEX('D&amp;C Vols'!$A$23:$L$29,MATCH($C25,'D&amp;C Vols'!$A$23:$A$29,0),MATCH(E$3,'D&amp;C Vols'!$A$23:$L$23,0))</f>
        <v>57189.643203275176</v>
      </c>
      <c r="F25" s="49">
        <f>INDEX('D&amp;C Vols'!$A$23:$L$29,MATCH($C25,'D&amp;C Vols'!$A$23:$A$29,0),MATCH(F$3,'D&amp;C Vols'!$A$23:$L$23,0))</f>
        <v>57198.928653119649</v>
      </c>
      <c r="G25" s="49">
        <f>INDEX('D&amp;C Vols'!$A$23:$L$29,MATCH($C25,'D&amp;C Vols'!$A$23:$A$29,0),MATCH(G$3,'D&amp;C Vols'!$A$23:$L$23,0))</f>
        <v>57207.976200316436</v>
      </c>
      <c r="H25" s="49">
        <f>INDEX('D&amp;C Vols'!$A$23:$L$29,MATCH($C25,'D&amp;C Vols'!$A$23:$A$29,0),MATCH(H$3,'D&amp;C Vols'!$A$23:$L$23,0))</f>
        <v>57216.679748027236</v>
      </c>
      <c r="I25" s="49">
        <f>INDEX('D&amp;C Vols'!$A$23:$L$29,MATCH($C25,'D&amp;C Vols'!$A$23:$A$29,0),MATCH(I$3,'D&amp;C Vols'!$A$23:$L$23,0))</f>
        <v>57223.961404150621</v>
      </c>
      <c r="J25" s="49">
        <f>INDEX('D&amp;C Vols'!$A$23:$L$29,MATCH($C25,'D&amp;C Vols'!$A$23:$A$29,0),MATCH(J$3,'D&amp;C Vols'!$A$23:$L$23,0))</f>
        <v>57230.713179536615</v>
      </c>
      <c r="K25" s="49">
        <f>INDEX('D&amp;C Vols'!$A$23:$L$29,MATCH($C25,'D&amp;C Vols'!$A$23:$A$29,0),MATCH(K$3,'D&amp;C Vols'!$A$23:$L$23,0))</f>
        <v>57237.270192171112</v>
      </c>
      <c r="L25" s="49">
        <f>INDEX('D&amp;C Vols'!$A$23:$L$29,MATCH($C25,'D&amp;C Vols'!$A$23:$A$29,0),MATCH(L$3,'D&amp;C Vols'!$A$23:$L$23,0))</f>
        <v>57237.270192171112</v>
      </c>
    </row>
    <row r="26" spans="2:13" s="33" customFormat="1" ht="13" x14ac:dyDescent="0.3">
      <c r="C26" s="69" t="str">
        <f>'D&amp;C Vols'!A27</f>
        <v>Spine duct – 3+ bores</v>
      </c>
      <c r="D26" s="49">
        <f>INDEX('D&amp;C Vols'!$A$23:$L$29,MATCH($C26,'D&amp;C Vols'!$A$23:$A$29,0),MATCH(D$3,'D&amp;C Vols'!$A$23:$L$23,0))</f>
        <v>53502.942472127012</v>
      </c>
      <c r="E26" s="49">
        <f>INDEX('D&amp;C Vols'!$A$23:$L$29,MATCH($C26,'D&amp;C Vols'!$A$23:$A$29,0),MATCH(E$3,'D&amp;C Vols'!$A$23:$L$23,0))</f>
        <v>53503.468942097781</v>
      </c>
      <c r="F26" s="49">
        <f>INDEX('D&amp;C Vols'!$A$23:$L$29,MATCH($C26,'D&amp;C Vols'!$A$23:$A$29,0),MATCH(F$3,'D&amp;C Vols'!$A$23:$L$23,0))</f>
        <v>53503.855646176249</v>
      </c>
      <c r="G26" s="49">
        <f>INDEX('D&amp;C Vols'!$A$23:$L$29,MATCH($C26,'D&amp;C Vols'!$A$23:$A$29,0),MATCH(G$3,'D&amp;C Vols'!$A$23:$L$23,0))</f>
        <v>53504.295694329106</v>
      </c>
      <c r="H26" s="49">
        <f>INDEX('D&amp;C Vols'!$A$23:$L$29,MATCH($C26,'D&amp;C Vols'!$A$23:$A$29,0),MATCH(H$3,'D&amp;C Vols'!$A$23:$L$23,0))</f>
        <v>53504.651354571717</v>
      </c>
      <c r="I26" s="49">
        <f>INDEX('D&amp;C Vols'!$A$23:$L$29,MATCH($C26,'D&amp;C Vols'!$A$23:$A$29,0),MATCH(I$3,'D&amp;C Vols'!$A$23:$L$23,0))</f>
        <v>53504.909070785885</v>
      </c>
      <c r="J26" s="49">
        <f>INDEX('D&amp;C Vols'!$A$23:$L$29,MATCH($C26,'D&amp;C Vols'!$A$23:$A$29,0),MATCH(J$3,'D&amp;C Vols'!$A$23:$L$23,0))</f>
        <v>53505.103669860997</v>
      </c>
      <c r="K26" s="49">
        <f>INDEX('D&amp;C Vols'!$A$23:$L$29,MATCH($C26,'D&amp;C Vols'!$A$23:$A$29,0),MATCH(K$3,'D&amp;C Vols'!$A$23:$L$23,0))</f>
        <v>53505.284594406505</v>
      </c>
      <c r="L26" s="49">
        <f>INDEX('D&amp;C Vols'!$A$23:$L$29,MATCH($C26,'D&amp;C Vols'!$A$23:$A$29,0),MATCH(L$3,'D&amp;C Vols'!$A$23:$L$23,0))</f>
        <v>53505.284594406505</v>
      </c>
    </row>
    <row r="27" spans="2:13" s="33" customFormat="1" ht="13" x14ac:dyDescent="0.3">
      <c r="C27" s="69" t="str">
        <f>'D&amp;C Vols'!A28</f>
        <v>Joint boxes</v>
      </c>
      <c r="D27" s="49">
        <f>INDEX('D&amp;C Vols'!$A$23:$L$29,MATCH($C27,'D&amp;C Vols'!$A$23:$A$29,0),MATCH(D$3,'D&amp;C Vols'!$A$23:$L$23,0))</f>
        <v>6480682.2019648859</v>
      </c>
      <c r="E27" s="49">
        <f>INDEX('D&amp;C Vols'!$A$23:$L$29,MATCH($C27,'D&amp;C Vols'!$A$23:$A$29,0),MATCH(E$3,'D&amp;C Vols'!$A$23:$L$23,0))</f>
        <v>6502116.9318007734</v>
      </c>
      <c r="F27" s="49">
        <f>INDEX('D&amp;C Vols'!$A$23:$L$29,MATCH($C27,'D&amp;C Vols'!$A$23:$A$29,0),MATCH(F$3,'D&amp;C Vols'!$A$23:$L$23,0))</f>
        <v>6525259.38996018</v>
      </c>
      <c r="G27" s="49">
        <f>INDEX('D&amp;C Vols'!$A$23:$L$29,MATCH($C27,'D&amp;C Vols'!$A$23:$A$29,0),MATCH(G$3,'D&amp;C Vols'!$A$23:$L$23,0))</f>
        <v>6546384.3714039279</v>
      </c>
      <c r="H27" s="49">
        <f>INDEX('D&amp;C Vols'!$A$23:$L$29,MATCH($C27,'D&amp;C Vols'!$A$23:$A$29,0),MATCH(H$3,'D&amp;C Vols'!$A$23:$L$23,0))</f>
        <v>6562725.6869925642</v>
      </c>
      <c r="I27" s="49">
        <f>INDEX('D&amp;C Vols'!$A$23:$L$29,MATCH($C27,'D&amp;C Vols'!$A$23:$A$29,0),MATCH(I$3,'D&amp;C Vols'!$A$23:$L$23,0))</f>
        <v>6574916.8913549315</v>
      </c>
      <c r="J27" s="49">
        <f>INDEX('D&amp;C Vols'!$A$23:$L$29,MATCH($C27,'D&amp;C Vols'!$A$23:$A$29,0),MATCH(J$3,'D&amp;C Vols'!$A$23:$L$23,0))</f>
        <v>6583911.7591787893</v>
      </c>
      <c r="K27" s="49">
        <f>INDEX('D&amp;C Vols'!$A$23:$L$29,MATCH($C27,'D&amp;C Vols'!$A$23:$A$29,0),MATCH(K$3,'D&amp;C Vols'!$A$23:$L$23,0))</f>
        <v>6592052.1145593813</v>
      </c>
      <c r="L27" s="49">
        <f>INDEX('D&amp;C Vols'!$A$23:$L$29,MATCH($C27,'D&amp;C Vols'!$A$23:$A$29,0),MATCH(L$3,'D&amp;C Vols'!$A$23:$L$23,0))</f>
        <v>6592052.1145593813</v>
      </c>
    </row>
    <row r="28" spans="2:13" s="33" customFormat="1" ht="13" x14ac:dyDescent="0.3">
      <c r="C28" s="69" t="str">
        <f>'D&amp;C Vols'!A29</f>
        <v>Manholes</v>
      </c>
      <c r="D28" s="49">
        <f>INDEX('D&amp;C Vols'!$A$23:$L$29,MATCH($C28,'D&amp;C Vols'!$A$23:$A$29,0),MATCH(D$3,'D&amp;C Vols'!$A$23:$L$23,0))</f>
        <v>239009.86000000002</v>
      </c>
      <c r="E28" s="49">
        <f>INDEX('D&amp;C Vols'!$A$23:$L$29,MATCH($C28,'D&amp;C Vols'!$A$23:$A$29,0),MATCH(E$3,'D&amp;C Vols'!$A$23:$L$23,0))</f>
        <v>239009.86000000002</v>
      </c>
      <c r="F28" s="49">
        <f>INDEX('D&amp;C Vols'!$A$23:$L$29,MATCH($C28,'D&amp;C Vols'!$A$23:$A$29,0),MATCH(F$3,'D&amp;C Vols'!$A$23:$L$23,0))</f>
        <v>239009.86000000002</v>
      </c>
      <c r="G28" s="49">
        <f>INDEX('D&amp;C Vols'!$A$23:$L$29,MATCH($C28,'D&amp;C Vols'!$A$23:$A$29,0),MATCH(G$3,'D&amp;C Vols'!$A$23:$L$23,0))</f>
        <v>239009.86000000002</v>
      </c>
      <c r="H28" s="49">
        <f>INDEX('D&amp;C Vols'!$A$23:$L$29,MATCH($C28,'D&amp;C Vols'!$A$23:$A$29,0),MATCH(H$3,'D&amp;C Vols'!$A$23:$L$23,0))</f>
        <v>239009.86000000002</v>
      </c>
      <c r="I28" s="49">
        <f>INDEX('D&amp;C Vols'!$A$23:$L$29,MATCH($C28,'D&amp;C Vols'!$A$23:$A$29,0),MATCH(I$3,'D&amp;C Vols'!$A$23:$L$23,0))</f>
        <v>239009.86000000002</v>
      </c>
      <c r="J28" s="49">
        <f>INDEX('D&amp;C Vols'!$A$23:$L$29,MATCH($C28,'D&amp;C Vols'!$A$23:$A$29,0),MATCH(J$3,'D&amp;C Vols'!$A$23:$L$23,0))</f>
        <v>239009.86000000002</v>
      </c>
      <c r="K28" s="49">
        <f>INDEX('D&amp;C Vols'!$A$23:$L$29,MATCH($C28,'D&amp;C Vols'!$A$23:$A$29,0),MATCH(K$3,'D&amp;C Vols'!$A$23:$L$23,0))</f>
        <v>239009.86000000002</v>
      </c>
      <c r="L28" s="49">
        <f>INDEX('D&amp;C Vols'!$A$23:$L$29,MATCH($C28,'D&amp;C Vols'!$A$23:$A$29,0),MATCH(L$3,'D&amp;C Vols'!$A$23:$L$23,0))</f>
        <v>239009.86000000002</v>
      </c>
    </row>
    <row r="29" spans="2:13" s="33" customFormat="1" ht="13" x14ac:dyDescent="0.3">
      <c r="C29" s="69"/>
      <c r="K29" s="196"/>
      <c r="L29" s="196"/>
    </row>
    <row r="30" spans="2:13" s="33" customFormat="1" ht="13" x14ac:dyDescent="0.3">
      <c r="B30" s="33" t="s">
        <v>2</v>
      </c>
      <c r="C30" s="69"/>
      <c r="D30" s="67">
        <f>'Parameters and Assumptions'!D4</f>
        <v>7.0999999999999994E-2</v>
      </c>
      <c r="E30" s="67">
        <f>'Parameters and Assumptions'!E4</f>
        <v>7.0999999999999994E-2</v>
      </c>
      <c r="F30" s="67">
        <f>'Parameters and Assumptions'!F4</f>
        <v>7.0999999999999994E-2</v>
      </c>
      <c r="G30" s="67">
        <f>'Parameters and Assumptions'!G4</f>
        <v>7.0999999999999994E-2</v>
      </c>
      <c r="H30" s="67">
        <f>'Parameters and Assumptions'!H4</f>
        <v>7.0999999999999994E-2</v>
      </c>
      <c r="I30" s="67">
        <f>'Parameters and Assumptions'!I4</f>
        <v>7.0999999999999994E-2</v>
      </c>
      <c r="J30" s="67">
        <f>'Parameters and Assumptions'!J4</f>
        <v>7.0999999999999994E-2</v>
      </c>
      <c r="K30" s="67">
        <f>'Parameters and Assumptions'!K4</f>
        <v>7.0999999999999994E-2</v>
      </c>
      <c r="L30" s="67">
        <f>'Parameters and Assumptions'!L4</f>
        <v>7.0999999999999994E-2</v>
      </c>
    </row>
    <row r="31" spans="2:13" s="33" customFormat="1" ht="13" x14ac:dyDescent="0.3">
      <c r="K31" s="196"/>
      <c r="L31" s="196"/>
    </row>
    <row r="32" spans="2:13" s="33" customFormat="1" ht="13" x14ac:dyDescent="0.3">
      <c r="B32" s="33" t="s">
        <v>222</v>
      </c>
      <c r="D32" s="39" t="s">
        <v>36</v>
      </c>
      <c r="E32" s="39" t="s">
        <v>37</v>
      </c>
      <c r="F32" s="39" t="s">
        <v>40</v>
      </c>
      <c r="G32" s="39" t="s">
        <v>39</v>
      </c>
      <c r="H32" s="39" t="s">
        <v>266</v>
      </c>
      <c r="I32" s="39" t="s">
        <v>267</v>
      </c>
      <c r="J32" s="39" t="s">
        <v>268</v>
      </c>
      <c r="K32" s="39" t="s">
        <v>269</v>
      </c>
      <c r="L32" s="39" t="s">
        <v>270</v>
      </c>
    </row>
    <row r="33" spans="2:15" s="33" customFormat="1" ht="13" x14ac:dyDescent="0.3">
      <c r="C33" s="69" t="str">
        <f>C5</f>
        <v>Lead-in duct</v>
      </c>
      <c r="D33" s="73">
        <f>'Parameters and Assumptions'!$D15</f>
        <v>1</v>
      </c>
      <c r="E33" s="73">
        <f>'Parameters and Assumptions'!$D15</f>
        <v>1</v>
      </c>
      <c r="F33" s="73">
        <f>'Parameters and Assumptions'!$D15</f>
        <v>1</v>
      </c>
      <c r="G33" s="73">
        <f>'Parameters and Assumptions'!$D15</f>
        <v>1</v>
      </c>
      <c r="H33" s="73">
        <f>'Parameters and Assumptions'!$D15</f>
        <v>1</v>
      </c>
      <c r="I33" s="73">
        <f>'Parameters and Assumptions'!$D15</f>
        <v>1</v>
      </c>
      <c r="J33" s="73">
        <f>'Parameters and Assumptions'!$D15</f>
        <v>1</v>
      </c>
      <c r="K33" s="73">
        <f>'Parameters and Assumptions'!$D15</f>
        <v>1</v>
      </c>
      <c r="L33" s="73">
        <f>'Parameters and Assumptions'!$D15</f>
        <v>1</v>
      </c>
      <c r="M33" s="72"/>
      <c r="O33" s="213" t="s">
        <v>223</v>
      </c>
    </row>
    <row r="34" spans="2:15" s="33" customFormat="1" ht="13" x14ac:dyDescent="0.3">
      <c r="C34" s="69" t="str">
        <f t="shared" ref="C34:C38" si="4">C6</f>
        <v>Spine duct – single bore</v>
      </c>
      <c r="D34" s="73">
        <f>'Parameters and Assumptions'!$D16</f>
        <v>0.45613029344184719</v>
      </c>
      <c r="E34" s="73">
        <f>'Parameters and Assumptions'!$D16</f>
        <v>0.45613029344184719</v>
      </c>
      <c r="F34" s="73">
        <f>'Parameters and Assumptions'!$D16</f>
        <v>0.45613029344184719</v>
      </c>
      <c r="G34" s="73">
        <f>'Parameters and Assumptions'!$D16</f>
        <v>0.45613029344184719</v>
      </c>
      <c r="H34" s="73">
        <f>'Parameters and Assumptions'!$D16</f>
        <v>0.45613029344184719</v>
      </c>
      <c r="I34" s="73">
        <f>'Parameters and Assumptions'!$D16</f>
        <v>0.45613029344184719</v>
      </c>
      <c r="J34" s="73">
        <f>'Parameters and Assumptions'!$D16</f>
        <v>0.45613029344184719</v>
      </c>
      <c r="K34" s="73">
        <f>'Parameters and Assumptions'!$D16</f>
        <v>0.45613029344184719</v>
      </c>
      <c r="L34" s="73">
        <f>'Parameters and Assumptions'!$D16</f>
        <v>0.45613029344184719</v>
      </c>
      <c r="M34" s="72"/>
      <c r="O34" s="213" t="s">
        <v>223</v>
      </c>
    </row>
    <row r="35" spans="2:15" s="33" customFormat="1" ht="13" x14ac:dyDescent="0.3">
      <c r="C35" s="69" t="str">
        <f t="shared" si="4"/>
        <v>Spine duct – 2 bores</v>
      </c>
      <c r="D35" s="73">
        <f>'Parameters and Assumptions'!$D17</f>
        <v>0.25</v>
      </c>
      <c r="E35" s="73">
        <f>'Parameters and Assumptions'!$D17</f>
        <v>0.25</v>
      </c>
      <c r="F35" s="73">
        <f>'Parameters and Assumptions'!$D17</f>
        <v>0.25</v>
      </c>
      <c r="G35" s="73">
        <f>'Parameters and Assumptions'!$D17</f>
        <v>0.25</v>
      </c>
      <c r="H35" s="73">
        <f>'Parameters and Assumptions'!$D17</f>
        <v>0.25</v>
      </c>
      <c r="I35" s="73">
        <f>'Parameters and Assumptions'!$D17</f>
        <v>0.25</v>
      </c>
      <c r="J35" s="73">
        <f>'Parameters and Assumptions'!$D17</f>
        <v>0.25</v>
      </c>
      <c r="K35" s="73">
        <f>'Parameters and Assumptions'!$D17</f>
        <v>0.25</v>
      </c>
      <c r="L35" s="73">
        <f>'Parameters and Assumptions'!$D17</f>
        <v>0.25</v>
      </c>
      <c r="M35" s="72"/>
      <c r="O35" s="213" t="s">
        <v>223</v>
      </c>
    </row>
    <row r="36" spans="2:15" s="33" customFormat="1" ht="13" x14ac:dyDescent="0.3">
      <c r="C36" s="69" t="str">
        <f t="shared" si="4"/>
        <v>Spine duct – 3+ bores</v>
      </c>
      <c r="D36" s="73">
        <f>'Parameters and Assumptions'!$D18</f>
        <v>0.1</v>
      </c>
      <c r="E36" s="73">
        <f>'Parameters and Assumptions'!$D18</f>
        <v>0.1</v>
      </c>
      <c r="F36" s="73">
        <f>'Parameters and Assumptions'!$D18</f>
        <v>0.1</v>
      </c>
      <c r="G36" s="73">
        <f>'Parameters and Assumptions'!$D18</f>
        <v>0.1</v>
      </c>
      <c r="H36" s="73">
        <f>'Parameters and Assumptions'!$D18</f>
        <v>0.1</v>
      </c>
      <c r="I36" s="73">
        <f>'Parameters and Assumptions'!$D18</f>
        <v>0.1</v>
      </c>
      <c r="J36" s="73">
        <f>'Parameters and Assumptions'!$D18</f>
        <v>0.1</v>
      </c>
      <c r="K36" s="73">
        <f>'Parameters and Assumptions'!$D18</f>
        <v>0.1</v>
      </c>
      <c r="L36" s="73">
        <f>'Parameters and Assumptions'!$D18</f>
        <v>0.1</v>
      </c>
      <c r="M36" s="72"/>
      <c r="O36" s="213" t="s">
        <v>223</v>
      </c>
    </row>
    <row r="37" spans="2:15" s="33" customFormat="1" ht="13" x14ac:dyDescent="0.3">
      <c r="C37" s="69" t="str">
        <f t="shared" si="4"/>
        <v>Joint boxes</v>
      </c>
      <c r="D37" s="73">
        <f>'Parameters and Assumptions'!$D19</f>
        <v>0.15</v>
      </c>
      <c r="E37" s="73">
        <f>'Parameters and Assumptions'!$D19</f>
        <v>0.15</v>
      </c>
      <c r="F37" s="73">
        <f>'Parameters and Assumptions'!$D19</f>
        <v>0.15</v>
      </c>
      <c r="G37" s="73">
        <f>'Parameters and Assumptions'!$D19</f>
        <v>0.15</v>
      </c>
      <c r="H37" s="73">
        <f>'Parameters and Assumptions'!$D19</f>
        <v>0.15</v>
      </c>
      <c r="I37" s="73">
        <f>'Parameters and Assumptions'!$D19</f>
        <v>0.15</v>
      </c>
      <c r="J37" s="73">
        <f>'Parameters and Assumptions'!$D19</f>
        <v>0.15</v>
      </c>
      <c r="K37" s="73">
        <f>'Parameters and Assumptions'!$D19</f>
        <v>0.15</v>
      </c>
      <c r="L37" s="73">
        <f>'Parameters and Assumptions'!$D19</f>
        <v>0.15</v>
      </c>
      <c r="M37" s="72"/>
      <c r="O37" s="213" t="s">
        <v>223</v>
      </c>
    </row>
    <row r="38" spans="2:15" s="33" customFormat="1" ht="13" x14ac:dyDescent="0.3">
      <c r="C38" s="69" t="str">
        <f t="shared" si="4"/>
        <v>Manholes</v>
      </c>
      <c r="D38" s="73">
        <f>'Parameters and Assumptions'!$D20</f>
        <v>3.3000000000000002E-2</v>
      </c>
      <c r="E38" s="73">
        <f>'Parameters and Assumptions'!$D20</f>
        <v>3.3000000000000002E-2</v>
      </c>
      <c r="F38" s="73">
        <f>'Parameters and Assumptions'!$D20</f>
        <v>3.3000000000000002E-2</v>
      </c>
      <c r="G38" s="73">
        <f>'Parameters and Assumptions'!$D20</f>
        <v>3.3000000000000002E-2</v>
      </c>
      <c r="H38" s="73">
        <f>'Parameters and Assumptions'!$D20</f>
        <v>3.3000000000000002E-2</v>
      </c>
      <c r="I38" s="73">
        <f>'Parameters and Assumptions'!$D20</f>
        <v>3.3000000000000002E-2</v>
      </c>
      <c r="J38" s="73">
        <f>'Parameters and Assumptions'!$D20</f>
        <v>3.3000000000000002E-2</v>
      </c>
      <c r="K38" s="73">
        <f>'Parameters and Assumptions'!$D20</f>
        <v>3.3000000000000002E-2</v>
      </c>
      <c r="L38" s="73">
        <f>'Parameters and Assumptions'!$D20</f>
        <v>3.3000000000000002E-2</v>
      </c>
      <c r="M38" s="72"/>
      <c r="O38" s="213" t="s">
        <v>223</v>
      </c>
    </row>
    <row r="39" spans="2:15" s="33" customFormat="1" ht="13" x14ac:dyDescent="0.3">
      <c r="K39" s="196"/>
      <c r="L39" s="196"/>
    </row>
    <row r="40" spans="2:15" s="51" customFormat="1" ht="13" x14ac:dyDescent="0.3">
      <c r="B40" s="51" t="s">
        <v>72</v>
      </c>
      <c r="C40" s="156"/>
      <c r="D40" s="190">
        <v>44652</v>
      </c>
      <c r="E40" s="190">
        <v>45017</v>
      </c>
      <c r="F40" s="190">
        <v>45383</v>
      </c>
      <c r="G40" s="190">
        <v>45748</v>
      </c>
      <c r="H40" s="69"/>
      <c r="I40" s="69"/>
      <c r="J40" s="69"/>
      <c r="K40" s="208"/>
      <c r="L40" s="208"/>
    </row>
    <row r="41" spans="2:15" s="33" customFormat="1" ht="13" x14ac:dyDescent="0.3">
      <c r="C41" s="69" t="str">
        <f t="shared" ref="C41:C46" si="5">C33</f>
        <v>Lead-in duct</v>
      </c>
      <c r="D41" s="97">
        <f>'Input data'!F6</f>
        <v>9.94</v>
      </c>
      <c r="E41" s="97">
        <f>'Input data'!G6</f>
        <v>11.09</v>
      </c>
      <c r="F41" s="97">
        <f>'Input data'!H6</f>
        <v>11.64</v>
      </c>
      <c r="G41" s="97">
        <f>'Input data'!I6</f>
        <v>11.96</v>
      </c>
      <c r="H41" s="69"/>
      <c r="I41" s="69"/>
      <c r="J41" s="69"/>
      <c r="K41" s="208"/>
      <c r="L41" s="208"/>
    </row>
    <row r="42" spans="2:15" s="33" customFormat="1" ht="13" x14ac:dyDescent="0.3">
      <c r="C42" s="69" t="str">
        <f t="shared" si="5"/>
        <v>Spine duct – single bore</v>
      </c>
      <c r="D42" s="97">
        <f>'Input data'!F7</f>
        <v>0.31</v>
      </c>
      <c r="E42" s="97">
        <f>'Input data'!G7</f>
        <v>0.35</v>
      </c>
      <c r="F42" s="97">
        <f>'Input data'!H7</f>
        <v>0.37</v>
      </c>
      <c r="G42" s="97">
        <f>'Input data'!I7</f>
        <v>0.39</v>
      </c>
      <c r="H42" s="69"/>
      <c r="I42" s="69"/>
      <c r="J42" s="69"/>
      <c r="K42" s="208"/>
      <c r="L42" s="208"/>
    </row>
    <row r="43" spans="2:15" s="33" customFormat="1" ht="13" x14ac:dyDescent="0.3">
      <c r="C43" s="69" t="str">
        <f t="shared" si="5"/>
        <v>Spine duct – 2 bores</v>
      </c>
      <c r="D43" s="97">
        <f>'Input data'!F8</f>
        <v>0.2</v>
      </c>
      <c r="E43" s="97">
        <f>'Input data'!G8</f>
        <v>0.24</v>
      </c>
      <c r="F43" s="97">
        <f>'Input data'!H8</f>
        <v>0.26</v>
      </c>
      <c r="G43" s="97">
        <f>'Input data'!I8</f>
        <v>0.28000000000000003</v>
      </c>
      <c r="H43" s="69"/>
      <c r="I43" s="69"/>
      <c r="J43" s="69"/>
      <c r="K43" s="208"/>
      <c r="L43" s="208"/>
    </row>
    <row r="44" spans="2:15" s="33" customFormat="1" ht="13" x14ac:dyDescent="0.3">
      <c r="C44" s="69" t="str">
        <f t="shared" si="5"/>
        <v>Spine duct – 3+ bores</v>
      </c>
      <c r="D44" s="97">
        <f>'Input data'!F9</f>
        <v>0.14000000000000001</v>
      </c>
      <c r="E44" s="97">
        <f>'Input data'!G9</f>
        <v>0.16</v>
      </c>
      <c r="F44" s="97">
        <f>'Input data'!H9</f>
        <v>0.18</v>
      </c>
      <c r="G44" s="97">
        <f>'Input data'!I9</f>
        <v>0.19</v>
      </c>
      <c r="H44" s="69"/>
      <c r="I44" s="69"/>
      <c r="J44" s="69"/>
      <c r="K44" s="208"/>
      <c r="L44" s="208"/>
    </row>
    <row r="45" spans="2:15" s="33" customFormat="1" ht="13" x14ac:dyDescent="0.3">
      <c r="C45" s="69" t="str">
        <f t="shared" si="5"/>
        <v>Joint boxes</v>
      </c>
      <c r="D45" s="97">
        <f>'Input data'!F10</f>
        <v>2.2400000000000002</v>
      </c>
      <c r="E45" s="97">
        <f>'Input data'!G10</f>
        <v>2.5099999999999998</v>
      </c>
      <c r="F45" s="97">
        <f>'Input data'!H10</f>
        <v>2.65</v>
      </c>
      <c r="G45" s="97">
        <f>'Input data'!I10</f>
        <v>2.75</v>
      </c>
      <c r="H45" s="69"/>
      <c r="I45" s="69"/>
      <c r="J45" s="69"/>
      <c r="K45" s="208"/>
      <c r="L45" s="208"/>
    </row>
    <row r="46" spans="2:15" s="33" customFormat="1" ht="13" x14ac:dyDescent="0.3">
      <c r="C46" s="69" t="str">
        <f t="shared" si="5"/>
        <v>Manholes</v>
      </c>
      <c r="D46" s="97">
        <f>'Input data'!F11</f>
        <v>9.43</v>
      </c>
      <c r="E46" s="97">
        <f>'Input data'!G11</f>
        <v>10.63</v>
      </c>
      <c r="F46" s="97">
        <f>'Input data'!H11</f>
        <v>11.29</v>
      </c>
      <c r="G46" s="97">
        <f>'Input data'!I11</f>
        <v>11.73</v>
      </c>
      <c r="H46" s="69"/>
      <c r="I46" s="69"/>
      <c r="J46" s="69"/>
      <c r="K46" s="208"/>
      <c r="L46" s="208"/>
    </row>
    <row r="47" spans="2:15" s="33" customFormat="1" ht="13" x14ac:dyDescent="0.3">
      <c r="C47" s="69"/>
      <c r="D47" s="69"/>
      <c r="E47" s="69"/>
      <c r="F47" s="69"/>
      <c r="G47" s="69"/>
      <c r="H47" s="69"/>
      <c r="I47" s="69"/>
      <c r="J47" s="69"/>
      <c r="K47" s="208"/>
      <c r="L47" s="208"/>
      <c r="M47" s="69"/>
    </row>
    <row r="48" spans="2:15" s="196" customFormat="1" ht="13" x14ac:dyDescent="0.3">
      <c r="B48" s="196" t="s">
        <v>146</v>
      </c>
      <c r="C48" s="208"/>
      <c r="D48" s="39" t="str">
        <f t="shared" ref="D48:L48" si="6">D32</f>
        <v>2022/23</v>
      </c>
      <c r="E48" s="39" t="str">
        <f t="shared" si="6"/>
        <v>2023/24</v>
      </c>
      <c r="F48" s="39" t="str">
        <f t="shared" si="6"/>
        <v>2024/25</v>
      </c>
      <c r="G48" s="39" t="str">
        <f t="shared" si="6"/>
        <v>2025/26</v>
      </c>
      <c r="H48" s="39" t="str">
        <f t="shared" si="6"/>
        <v>2026/27</v>
      </c>
      <c r="I48" s="39" t="str">
        <f t="shared" si="6"/>
        <v>2027/28</v>
      </c>
      <c r="J48" s="39" t="str">
        <f t="shared" si="6"/>
        <v>2028/29</v>
      </c>
      <c r="K48" s="39" t="str">
        <f t="shared" si="6"/>
        <v>2029/30</v>
      </c>
      <c r="L48" s="39" t="str">
        <f t="shared" si="6"/>
        <v>2030/31</v>
      </c>
      <c r="M48" s="153"/>
    </row>
    <row r="49" spans="1:16" s="196" customFormat="1" ht="13" x14ac:dyDescent="0.3">
      <c r="C49" s="208" t="str">
        <f t="shared" ref="C49:C54" si="7">C33</f>
        <v>Lead-in duct</v>
      </c>
      <c r="D49" s="158">
        <f>'Input data'!$D22</f>
        <v>10.51</v>
      </c>
      <c r="E49" s="158">
        <f>'Input data'!$D22</f>
        <v>10.51</v>
      </c>
      <c r="F49" s="158">
        <f>'Input data'!$D22</f>
        <v>10.51</v>
      </c>
      <c r="G49" s="158">
        <f>'Input data'!$D22</f>
        <v>10.51</v>
      </c>
      <c r="H49" s="158">
        <f>'Input data'!$D22</f>
        <v>10.51</v>
      </c>
      <c r="I49" s="158">
        <f>'Input data'!$D22</f>
        <v>10.51</v>
      </c>
      <c r="J49" s="158">
        <f>'Input data'!$D22</f>
        <v>10.51</v>
      </c>
      <c r="K49" s="158">
        <f>'Input data'!$D22</f>
        <v>10.51</v>
      </c>
      <c r="L49" s="158">
        <f>'Input data'!$D22</f>
        <v>10.51</v>
      </c>
      <c r="M49" s="153"/>
      <c r="O49" s="213" t="s">
        <v>166</v>
      </c>
    </row>
    <row r="50" spans="1:16" s="196" customFormat="1" ht="13" x14ac:dyDescent="0.3">
      <c r="C50" s="208" t="str">
        <f t="shared" si="7"/>
        <v>Spine duct – single bore</v>
      </c>
      <c r="D50" s="158">
        <f>'Input data'!$D23</f>
        <v>8.6933333333333334</v>
      </c>
      <c r="E50" s="158">
        <f>'Input data'!$D23</f>
        <v>8.6933333333333334</v>
      </c>
      <c r="F50" s="158">
        <f>'Input data'!$D23</f>
        <v>8.6933333333333334</v>
      </c>
      <c r="G50" s="158">
        <f>'Input data'!$D23</f>
        <v>8.6933333333333334</v>
      </c>
      <c r="H50" s="158">
        <f>'Input data'!$D23</f>
        <v>8.6933333333333334</v>
      </c>
      <c r="I50" s="158">
        <f>'Input data'!$D23</f>
        <v>8.6933333333333334</v>
      </c>
      <c r="J50" s="158">
        <f>'Input data'!$D23</f>
        <v>8.6933333333333334</v>
      </c>
      <c r="K50" s="158">
        <f>'Input data'!$D23</f>
        <v>8.6933333333333334</v>
      </c>
      <c r="L50" s="158">
        <f>'Input data'!$D23</f>
        <v>8.6933333333333334</v>
      </c>
      <c r="O50" s="213" t="s">
        <v>166</v>
      </c>
    </row>
    <row r="51" spans="1:16" s="196" customFormat="1" ht="13" x14ac:dyDescent="0.3">
      <c r="C51" s="208" t="str">
        <f t="shared" si="7"/>
        <v>Spine duct – 2 bores</v>
      </c>
      <c r="D51" s="355"/>
      <c r="E51" s="355"/>
      <c r="F51" s="355"/>
      <c r="G51" s="355"/>
      <c r="H51" s="355"/>
      <c r="I51" s="355"/>
      <c r="J51" s="355"/>
      <c r="K51" s="355"/>
      <c r="L51" s="355"/>
      <c r="O51" s="213" t="s">
        <v>163</v>
      </c>
    </row>
    <row r="52" spans="1:16" s="196" customFormat="1" ht="13" x14ac:dyDescent="0.3">
      <c r="C52" s="208" t="str">
        <f t="shared" si="7"/>
        <v>Spine duct – 3+ bores</v>
      </c>
      <c r="D52" s="355"/>
      <c r="E52" s="355"/>
      <c r="F52" s="355"/>
      <c r="G52" s="355"/>
      <c r="H52" s="355"/>
      <c r="I52" s="355"/>
      <c r="J52" s="355"/>
      <c r="K52" s="355"/>
      <c r="L52" s="355"/>
      <c r="O52" s="213" t="s">
        <v>163</v>
      </c>
    </row>
    <row r="53" spans="1:16" s="196" customFormat="1" ht="13" x14ac:dyDescent="0.3">
      <c r="C53" s="208" t="str">
        <f t="shared" si="7"/>
        <v>Joint boxes</v>
      </c>
      <c r="D53" s="158">
        <f>'Input data'!$D24</f>
        <v>0.45333333333333337</v>
      </c>
      <c r="E53" s="158">
        <f>'Input data'!$D24</f>
        <v>0.45333333333333337</v>
      </c>
      <c r="F53" s="158">
        <f>'Input data'!$D24</f>
        <v>0.45333333333333337</v>
      </c>
      <c r="G53" s="158">
        <f>'Input data'!$D24</f>
        <v>0.45333333333333337</v>
      </c>
      <c r="H53" s="158">
        <f>'Input data'!$D24</f>
        <v>0.45333333333333337</v>
      </c>
      <c r="I53" s="158">
        <f>'Input data'!$D24</f>
        <v>0.45333333333333337</v>
      </c>
      <c r="J53" s="158">
        <f>'Input data'!$D24</f>
        <v>0.45333333333333337</v>
      </c>
      <c r="K53" s="158">
        <f>'Input data'!$D24</f>
        <v>0.45333333333333337</v>
      </c>
      <c r="L53" s="158">
        <f>'Input data'!$D24</f>
        <v>0.45333333333333337</v>
      </c>
      <c r="O53" s="213" t="s">
        <v>166</v>
      </c>
    </row>
    <row r="54" spans="1:16" s="196" customFormat="1" ht="13" x14ac:dyDescent="0.3">
      <c r="C54" s="208" t="str">
        <f t="shared" si="7"/>
        <v>Manholes</v>
      </c>
      <c r="D54" s="355"/>
      <c r="E54" s="355"/>
      <c r="F54" s="355"/>
      <c r="G54" s="355"/>
      <c r="H54" s="355"/>
      <c r="I54" s="355"/>
      <c r="J54" s="355"/>
      <c r="K54" s="355"/>
      <c r="L54" s="355"/>
      <c r="O54" s="213" t="s">
        <v>163</v>
      </c>
    </row>
    <row r="55" spans="1:16" s="196" customFormat="1" ht="13" x14ac:dyDescent="0.3">
      <c r="C55" s="208"/>
      <c r="D55" s="154"/>
      <c r="E55" s="208"/>
      <c r="F55" s="208"/>
      <c r="G55" s="155"/>
      <c r="H55" s="155"/>
      <c r="I55" s="155"/>
      <c r="J55" s="155"/>
    </row>
    <row r="56" spans="1:16" s="196" customFormat="1" ht="13" x14ac:dyDescent="0.3">
      <c r="B56" s="196" t="s">
        <v>164</v>
      </c>
      <c r="C56" s="208"/>
      <c r="D56" s="154"/>
      <c r="E56" s="208"/>
      <c r="F56" s="208"/>
      <c r="G56" s="155"/>
      <c r="H56" s="155"/>
      <c r="I56" s="155"/>
      <c r="J56" s="155"/>
    </row>
    <row r="57" spans="1:16" s="196" customFormat="1" ht="13" x14ac:dyDescent="0.3">
      <c r="C57" s="208" t="str">
        <f t="shared" ref="C57:C62" si="8">C33</f>
        <v>Lead-in duct</v>
      </c>
      <c r="D57" s="363" cm="1">
        <f t="array" ref="D57:L57">1-Leadin_discount</f>
        <v>0.9</v>
      </c>
      <c r="E57" s="363">
        <v>0.9</v>
      </c>
      <c r="F57" s="363">
        <v>0.9</v>
      </c>
      <c r="G57" s="363">
        <v>0.9</v>
      </c>
      <c r="H57" s="363">
        <v>0.8112260586883695</v>
      </c>
      <c r="I57" s="363">
        <v>0.72245211737673887</v>
      </c>
      <c r="J57" s="363">
        <v>0.63367817606510835</v>
      </c>
      <c r="K57" s="363">
        <v>0.54490423475347782</v>
      </c>
      <c r="L57" s="363">
        <v>0.45613029344184719</v>
      </c>
    </row>
    <row r="58" spans="1:16" s="196" customFormat="1" ht="13" x14ac:dyDescent="0.3">
      <c r="C58" s="208" t="str">
        <f t="shared" si="8"/>
        <v>Spine duct – single bore</v>
      </c>
      <c r="D58" s="363" cm="1">
        <f t="array" ref="D58:L58">1-Leadin_discount</f>
        <v>0.9</v>
      </c>
      <c r="E58" s="363">
        <v>0.9</v>
      </c>
      <c r="F58" s="363">
        <v>0.9</v>
      </c>
      <c r="G58" s="363">
        <v>0.9</v>
      </c>
      <c r="H58" s="363">
        <v>0.8112260586883695</v>
      </c>
      <c r="I58" s="363">
        <v>0.72245211737673887</v>
      </c>
      <c r="J58" s="363">
        <v>0.63367817606510835</v>
      </c>
      <c r="K58" s="363">
        <v>0.54490423475347782</v>
      </c>
      <c r="L58" s="363">
        <v>0.45613029344184719</v>
      </c>
    </row>
    <row r="59" spans="1:16" s="196" customFormat="1" ht="13" x14ac:dyDescent="0.3">
      <c r="C59" s="208" t="str">
        <f t="shared" si="8"/>
        <v>Spine duct – 2 bores</v>
      </c>
      <c r="D59" s="355"/>
      <c r="E59" s="355"/>
      <c r="F59" s="355"/>
      <c r="G59" s="355"/>
      <c r="H59" s="355"/>
      <c r="I59" s="355"/>
      <c r="J59" s="355"/>
      <c r="K59" s="355"/>
      <c r="L59" s="355"/>
    </row>
    <row r="60" spans="1:16" s="196" customFormat="1" ht="13" x14ac:dyDescent="0.3">
      <c r="C60" s="208" t="str">
        <f t="shared" si="8"/>
        <v>Spine duct – 3+ bores</v>
      </c>
      <c r="D60" s="355"/>
      <c r="E60" s="355"/>
      <c r="F60" s="355"/>
      <c r="G60" s="355"/>
      <c r="H60" s="355"/>
      <c r="I60" s="355"/>
      <c r="J60" s="355"/>
      <c r="K60" s="355"/>
      <c r="L60" s="355"/>
    </row>
    <row r="61" spans="1:16" s="196" customFormat="1" ht="13" x14ac:dyDescent="0.3">
      <c r="C61" s="208" t="str">
        <f t="shared" si="8"/>
        <v>Joint boxes</v>
      </c>
      <c r="D61" s="363" cm="1">
        <f t="array" ref="D61:L61">1-Leadin_discount</f>
        <v>0.9</v>
      </c>
      <c r="E61" s="363">
        <v>0.9</v>
      </c>
      <c r="F61" s="363">
        <v>0.9</v>
      </c>
      <c r="G61" s="363">
        <v>0.9</v>
      </c>
      <c r="H61" s="363">
        <v>0.8112260586883695</v>
      </c>
      <c r="I61" s="363">
        <v>0.72245211737673887</v>
      </c>
      <c r="J61" s="363">
        <v>0.63367817606510835</v>
      </c>
      <c r="K61" s="363">
        <v>0.54490423475347782</v>
      </c>
      <c r="L61" s="363">
        <v>0.45613029344184719</v>
      </c>
    </row>
    <row r="62" spans="1:16" s="196" customFormat="1" ht="13" x14ac:dyDescent="0.3">
      <c r="C62" s="208" t="str">
        <f t="shared" si="8"/>
        <v>Manholes</v>
      </c>
      <c r="D62" s="355"/>
      <c r="E62" s="355"/>
      <c r="F62" s="355"/>
      <c r="G62" s="355"/>
      <c r="H62" s="355"/>
      <c r="I62" s="355"/>
      <c r="J62" s="355"/>
      <c r="K62" s="355"/>
      <c r="L62" s="355"/>
    </row>
    <row r="63" spans="1:16" s="196" customFormat="1" ht="13" x14ac:dyDescent="0.3">
      <c r="C63" s="208"/>
      <c r="D63" s="154"/>
      <c r="E63" s="208"/>
      <c r="F63" s="153"/>
      <c r="G63" s="155"/>
      <c r="H63" s="155"/>
      <c r="I63" s="155"/>
      <c r="J63" s="155"/>
    </row>
    <row r="64" spans="1:16" ht="15.5" x14ac:dyDescent="0.35">
      <c r="A64" s="11" t="s">
        <v>143</v>
      </c>
      <c r="D64" s="39" t="s">
        <v>36</v>
      </c>
      <c r="E64" s="39" t="s">
        <v>37</v>
      </c>
      <c r="F64" s="39" t="s">
        <v>40</v>
      </c>
      <c r="G64" s="39" t="s">
        <v>39</v>
      </c>
      <c r="H64" s="39" t="s">
        <v>266</v>
      </c>
      <c r="I64" s="39" t="s">
        <v>267</v>
      </c>
      <c r="J64" s="39" t="s">
        <v>268</v>
      </c>
      <c r="K64" s="39" t="s">
        <v>269</v>
      </c>
      <c r="L64" s="39" t="s">
        <v>270</v>
      </c>
      <c r="P64" s="195"/>
    </row>
    <row r="65" spans="2:18" ht="7.5" customHeight="1" x14ac:dyDescent="0.35">
      <c r="N65" s="195"/>
      <c r="P65" s="195"/>
    </row>
    <row r="66" spans="2:18" s="33" customFormat="1" x14ac:dyDescent="0.35">
      <c r="B66" s="33" t="s">
        <v>279</v>
      </c>
      <c r="C66" s="69" t="str">
        <f t="shared" ref="C66:C71" si="9">C33</f>
        <v>Lead-in duct</v>
      </c>
      <c r="D66" s="63">
        <f t="shared" ref="D66:L66" si="10">D5+D14*D$30</f>
        <v>-2.5631540668864687</v>
      </c>
      <c r="E66" s="63">
        <f t="shared" si="10"/>
        <v>40.1112082861152</v>
      </c>
      <c r="F66" s="63">
        <f t="shared" si="10"/>
        <v>78.815976271985363</v>
      </c>
      <c r="G66" s="63">
        <f t="shared" si="10"/>
        <v>82.213088244380828</v>
      </c>
      <c r="H66" s="63">
        <f t="shared" si="10"/>
        <v>100.61416033045643</v>
      </c>
      <c r="I66" s="63">
        <f t="shared" si="10"/>
        <v>103.51671192442201</v>
      </c>
      <c r="J66" s="63">
        <f t="shared" si="10"/>
        <v>103.50067958109332</v>
      </c>
      <c r="K66" s="63">
        <f t="shared" si="10"/>
        <v>102.25621606897371</v>
      </c>
      <c r="L66" s="63">
        <f t="shared" si="10"/>
        <v>103.64840553143999</v>
      </c>
      <c r="N66" s="195"/>
      <c r="P66" s="195"/>
    </row>
    <row r="67" spans="2:18" s="33" customFormat="1" x14ac:dyDescent="0.35">
      <c r="C67" s="69" t="str">
        <f t="shared" si="9"/>
        <v>Spine duct – single bore</v>
      </c>
      <c r="D67" s="63">
        <f t="shared" ref="D67:L67" si="11">D6+D15*D$30</f>
        <v>-5.2397482707065137</v>
      </c>
      <c r="E67" s="63">
        <f t="shared" si="11"/>
        <v>152.63864215859886</v>
      </c>
      <c r="F67" s="63">
        <f t="shared" si="11"/>
        <v>292.99981181055205</v>
      </c>
      <c r="G67" s="63">
        <f t="shared" si="11"/>
        <v>303.8546839978377</v>
      </c>
      <c r="H67" s="63">
        <f t="shared" si="11"/>
        <v>368.39661922336177</v>
      </c>
      <c r="I67" s="63">
        <f t="shared" si="11"/>
        <v>377.30724459095302</v>
      </c>
      <c r="J67" s="63">
        <f t="shared" si="11"/>
        <v>375.49219970241148</v>
      </c>
      <c r="K67" s="63">
        <f t="shared" si="11"/>
        <v>369.05882720557469</v>
      </c>
      <c r="L67" s="63">
        <f t="shared" si="11"/>
        <v>373.07793132944272</v>
      </c>
      <c r="N67" s="195"/>
      <c r="P67" s="195"/>
    </row>
    <row r="68" spans="2:18" s="33" customFormat="1" x14ac:dyDescent="0.35">
      <c r="C68" s="69" t="str">
        <f t="shared" si="9"/>
        <v>Spine duct – 2 bores</v>
      </c>
      <c r="D68" s="63">
        <f t="shared" ref="D68:L68" si="12">D7+D16*D$30</f>
        <v>-1.2053792363387714</v>
      </c>
      <c r="E68" s="63">
        <f t="shared" si="12"/>
        <v>39.999668328035696</v>
      </c>
      <c r="F68" s="63">
        <f t="shared" si="12"/>
        <v>76.135651888486336</v>
      </c>
      <c r="G68" s="63">
        <f t="shared" si="12"/>
        <v>78.561853325230572</v>
      </c>
      <c r="H68" s="63">
        <f t="shared" si="12"/>
        <v>94.660146115155754</v>
      </c>
      <c r="I68" s="63">
        <f t="shared" si="12"/>
        <v>96.567767537147802</v>
      </c>
      <c r="J68" s="63">
        <f t="shared" si="12"/>
        <v>95.758777439764501</v>
      </c>
      <c r="K68" s="63">
        <f t="shared" si="12"/>
        <v>93.736864810150905</v>
      </c>
      <c r="L68" s="63">
        <f t="shared" si="12"/>
        <v>94.634566844563082</v>
      </c>
      <c r="N68" s="195"/>
      <c r="P68" s="195"/>
    </row>
    <row r="69" spans="2:18" s="33" customFormat="1" x14ac:dyDescent="0.35">
      <c r="C69" s="69" t="str">
        <f t="shared" si="9"/>
        <v>Spine duct – 3+ bores</v>
      </c>
      <c r="D69" s="63">
        <f t="shared" ref="D69:L69" si="13">D8+D17*D$30</f>
        <v>0.95929553978135118</v>
      </c>
      <c r="E69" s="63">
        <f t="shared" si="13"/>
        <v>60.688649021926196</v>
      </c>
      <c r="F69" s="63">
        <f t="shared" si="13"/>
        <v>111.38071445423681</v>
      </c>
      <c r="G69" s="63">
        <f t="shared" si="13"/>
        <v>113.90689292090879</v>
      </c>
      <c r="H69" s="63">
        <f t="shared" si="13"/>
        <v>135.16930101711574</v>
      </c>
      <c r="I69" s="63">
        <f t="shared" si="13"/>
        <v>136.87081735991609</v>
      </c>
      <c r="J69" s="63">
        <f t="shared" si="13"/>
        <v>134.65555602036954</v>
      </c>
      <c r="K69" s="63">
        <f t="shared" si="13"/>
        <v>130.63647480847689</v>
      </c>
      <c r="L69" s="63">
        <f t="shared" si="13"/>
        <v>131.24792200381523</v>
      </c>
      <c r="N69" s="195"/>
      <c r="P69" s="195"/>
    </row>
    <row r="70" spans="2:18" s="33" customFormat="1" x14ac:dyDescent="0.35">
      <c r="C70" s="69" t="str">
        <f t="shared" si="9"/>
        <v>Joint boxes</v>
      </c>
      <c r="D70" s="63">
        <f t="shared" ref="D70:L70" si="14">D9+D18*D$30</f>
        <v>-1.0011344992893498</v>
      </c>
      <c r="E70" s="63">
        <f t="shared" si="14"/>
        <v>71.01465334075418</v>
      </c>
      <c r="F70" s="63">
        <f t="shared" si="14"/>
        <v>133.64453299175491</v>
      </c>
      <c r="G70" s="63">
        <f t="shared" si="14"/>
        <v>137.62935798366286</v>
      </c>
      <c r="H70" s="63">
        <f t="shared" si="14"/>
        <v>165.18440130371073</v>
      </c>
      <c r="I70" s="63">
        <f t="shared" si="14"/>
        <v>168.24425334407542</v>
      </c>
      <c r="J70" s="63">
        <f t="shared" si="14"/>
        <v>166.53205541125809</v>
      </c>
      <c r="K70" s="63">
        <f t="shared" si="14"/>
        <v>162.67567816961514</v>
      </c>
      <c r="L70" s="63">
        <f t="shared" si="14"/>
        <v>164.01054658684365</v>
      </c>
      <c r="N70" s="195"/>
      <c r="P70" s="195"/>
    </row>
    <row r="71" spans="2:18" s="33" customFormat="1" x14ac:dyDescent="0.35">
      <c r="C71" s="70" t="str">
        <f t="shared" si="9"/>
        <v>Manholes</v>
      </c>
      <c r="D71" s="66">
        <f t="shared" ref="D71:L71" si="15">D10+D19*D$30</f>
        <v>-3.2795136660144451</v>
      </c>
      <c r="E71" s="66">
        <f t="shared" si="15"/>
        <v>50.023505256130598</v>
      </c>
      <c r="F71" s="66">
        <f t="shared" si="15"/>
        <v>97.832407293340538</v>
      </c>
      <c r="G71" s="66">
        <f t="shared" si="15"/>
        <v>101.59065966371377</v>
      </c>
      <c r="H71" s="66">
        <f t="shared" si="15"/>
        <v>123.71314745606777</v>
      </c>
      <c r="I71" s="66">
        <f t="shared" si="15"/>
        <v>126.84301986797482</v>
      </c>
      <c r="J71" s="66">
        <f t="shared" si="15"/>
        <v>126.44588196139614</v>
      </c>
      <c r="K71" s="66">
        <f t="shared" si="15"/>
        <v>124.50841773018701</v>
      </c>
      <c r="L71" s="66">
        <f t="shared" si="15"/>
        <v>126.10425952033005</v>
      </c>
      <c r="N71" s="195"/>
      <c r="P71" s="195"/>
    </row>
    <row r="72" spans="2:18" s="33" customFormat="1" x14ac:dyDescent="0.35">
      <c r="C72" s="69" t="s">
        <v>0</v>
      </c>
      <c r="D72" s="63">
        <f>SUM(D66:D71)</f>
        <v>-12.329634199454198</v>
      </c>
      <c r="E72" s="63">
        <f t="shared" ref="E72:J72" si="16">SUM(E66:E71)</f>
        <v>414.47632639156075</v>
      </c>
      <c r="F72" s="63">
        <f t="shared" si="16"/>
        <v>790.80909471035602</v>
      </c>
      <c r="G72" s="63">
        <f t="shared" si="16"/>
        <v>817.75653613573456</v>
      </c>
      <c r="H72" s="63">
        <f t="shared" si="16"/>
        <v>987.73777544586812</v>
      </c>
      <c r="I72" s="63">
        <f t="shared" si="16"/>
        <v>1009.3498146244891</v>
      </c>
      <c r="J72" s="63">
        <f t="shared" si="16"/>
        <v>1002.3851501162931</v>
      </c>
      <c r="K72" s="63">
        <f t="shared" ref="K72:L72" si="17">SUM(K66:K71)</f>
        <v>982.87247879297843</v>
      </c>
      <c r="L72" s="63">
        <f t="shared" si="17"/>
        <v>992.72363181643482</v>
      </c>
      <c r="N72" s="195"/>
      <c r="P72" s="195"/>
    </row>
    <row r="73" spans="2:18" s="33" customFormat="1" x14ac:dyDescent="0.35">
      <c r="C73" s="69"/>
      <c r="D73" s="348" t="b">
        <f t="shared" ref="D73:L73" si="18">IF(ABS(SUM(D66:D71)-(D11+D20*D30))&lt;0.00001,TRUE,FALSE)</f>
        <v>1</v>
      </c>
      <c r="E73" s="348" t="b">
        <f t="shared" si="18"/>
        <v>1</v>
      </c>
      <c r="F73" s="348" t="b">
        <f t="shared" si="18"/>
        <v>1</v>
      </c>
      <c r="G73" s="348" t="b">
        <f t="shared" si="18"/>
        <v>1</v>
      </c>
      <c r="H73" s="348" t="b">
        <f t="shared" si="18"/>
        <v>1</v>
      </c>
      <c r="I73" s="348" t="b">
        <f t="shared" si="18"/>
        <v>1</v>
      </c>
      <c r="J73" s="348" t="b">
        <f t="shared" si="18"/>
        <v>1</v>
      </c>
      <c r="K73" s="348" t="b">
        <f t="shared" si="18"/>
        <v>1</v>
      </c>
      <c r="L73" s="348" t="b">
        <f t="shared" si="18"/>
        <v>1</v>
      </c>
      <c r="N73" s="195"/>
      <c r="P73" s="195"/>
    </row>
    <row r="74" spans="2:18" s="33" customFormat="1" ht="11.65" customHeight="1" x14ac:dyDescent="0.35">
      <c r="C74" s="69"/>
      <c r="D74" s="208"/>
      <c r="E74" s="208"/>
      <c r="F74" s="208"/>
      <c r="G74" s="208"/>
      <c r="H74" s="208"/>
      <c r="I74" s="208"/>
      <c r="J74" s="208"/>
      <c r="K74" s="208"/>
      <c r="L74" s="208"/>
      <c r="M74" s="208"/>
      <c r="N74" s="195"/>
      <c r="P74" s="195"/>
    </row>
    <row r="75" spans="2:18" s="33" customFormat="1" x14ac:dyDescent="0.35">
      <c r="B75" s="33" t="s">
        <v>15</v>
      </c>
      <c r="C75" s="69" t="str">
        <f t="shared" ref="C75:C80" si="19">C33</f>
        <v>Lead-in duct</v>
      </c>
      <c r="D75" s="90">
        <f t="shared" ref="D75:L75" si="20">D66*Thousand/D23</f>
        <v>-2.6994922671280074E-2</v>
      </c>
      <c r="E75" s="90">
        <f t="shared" si="20"/>
        <v>0.41719566451692025</v>
      </c>
      <c r="F75" s="90">
        <f t="shared" si="20"/>
        <v>0.80903661624734802</v>
      </c>
      <c r="G75" s="90">
        <f t="shared" si="20"/>
        <v>0.83438683027454674</v>
      </c>
      <c r="H75" s="90">
        <f t="shared" si="20"/>
        <v>1.0124089482986827</v>
      </c>
      <c r="I75" s="90">
        <f t="shared" si="20"/>
        <v>1.0354994193114313</v>
      </c>
      <c r="J75" s="90">
        <f t="shared" si="20"/>
        <v>1.0311177900327759</v>
      </c>
      <c r="K75" s="90">
        <f t="shared" si="20"/>
        <v>1.0145620498345431</v>
      </c>
      <c r="L75" s="90">
        <f t="shared" si="20"/>
        <v>1.0283750252124417</v>
      </c>
      <c r="M75" s="443">
        <f>L82/L57</f>
        <v>16.966828787426415</v>
      </c>
      <c r="N75" s="195"/>
      <c r="O75" s="60" t="s">
        <v>177</v>
      </c>
      <c r="P75" s="195"/>
    </row>
    <row r="76" spans="2:18" s="33" customFormat="1" x14ac:dyDescent="0.35">
      <c r="C76" s="69" t="str">
        <f t="shared" si="19"/>
        <v>Spine duct – single bore</v>
      </c>
      <c r="D76" s="361">
        <f t="shared" ref="D76:L76" si="21">D67*Thousand/D24</f>
        <v>-1.6793728566271541E-2</v>
      </c>
      <c r="E76" s="90">
        <f t="shared" si="21"/>
        <v>0.48313429465797519</v>
      </c>
      <c r="F76" s="90">
        <f t="shared" si="21"/>
        <v>0.91527287170301141</v>
      </c>
      <c r="G76" s="90">
        <f t="shared" si="21"/>
        <v>0.93847291763102203</v>
      </c>
      <c r="H76" s="90">
        <f t="shared" si="21"/>
        <v>1.1280850255648014</v>
      </c>
      <c r="I76" s="90">
        <f t="shared" si="21"/>
        <v>1.1485869178241555</v>
      </c>
      <c r="J76" s="90">
        <f t="shared" si="21"/>
        <v>1.1384011571943626</v>
      </c>
      <c r="K76" s="90">
        <f t="shared" si="21"/>
        <v>1.1143300010315553</v>
      </c>
      <c r="L76" s="90">
        <f t="shared" si="21"/>
        <v>1.1264652162664996</v>
      </c>
      <c r="N76" s="195"/>
      <c r="O76" s="60" t="s">
        <v>177</v>
      </c>
      <c r="P76" s="195"/>
    </row>
    <row r="77" spans="2:18" s="33" customFormat="1" x14ac:dyDescent="0.35">
      <c r="C77" s="69" t="str">
        <f t="shared" si="19"/>
        <v>Spine duct – 2 bores</v>
      </c>
      <c r="D77" s="90">
        <f t="shared" ref="D77:L77" si="22">D68*Thousand/D25</f>
        <v>-2.1080165330454259E-2</v>
      </c>
      <c r="E77" s="90">
        <f t="shared" si="22"/>
        <v>0.69942154011803603</v>
      </c>
      <c r="F77" s="90">
        <f t="shared" si="22"/>
        <v>1.3310677958709261</v>
      </c>
      <c r="G77" s="90">
        <f t="shared" si="22"/>
        <v>1.3732674802223825</v>
      </c>
      <c r="H77" s="90">
        <f t="shared" si="22"/>
        <v>1.6544152252808679</v>
      </c>
      <c r="I77" s="90">
        <f t="shared" si="22"/>
        <v>1.6875407638266626</v>
      </c>
      <c r="J77" s="90">
        <f t="shared" si="22"/>
        <v>1.673206083233014</v>
      </c>
      <c r="K77" s="90">
        <f t="shared" si="22"/>
        <v>1.6376892974705874</v>
      </c>
      <c r="L77" s="90">
        <f t="shared" si="22"/>
        <v>1.6533731697342051</v>
      </c>
      <c r="N77" s="195"/>
      <c r="O77" s="60" t="s">
        <v>177</v>
      </c>
      <c r="P77" s="195"/>
      <c r="R77" s="130"/>
    </row>
    <row r="78" spans="2:18" s="33" customFormat="1" x14ac:dyDescent="0.35">
      <c r="C78" s="69" t="str">
        <f t="shared" si="19"/>
        <v>Spine duct – 3+ bores</v>
      </c>
      <c r="D78" s="90">
        <f t="shared" ref="D78:L78" si="23">D69*Thousand/D26</f>
        <v>1.7929771624824325E-2</v>
      </c>
      <c r="E78" s="90">
        <f t="shared" si="23"/>
        <v>1.1342937237883457</v>
      </c>
      <c r="F78" s="90">
        <f t="shared" si="23"/>
        <v>2.0817324865483191</v>
      </c>
      <c r="G78" s="90">
        <f t="shared" si="23"/>
        <v>2.1289298633451916</v>
      </c>
      <c r="H78" s="90">
        <f t="shared" si="23"/>
        <v>2.5263093505900618</v>
      </c>
      <c r="I78" s="90">
        <f t="shared" si="23"/>
        <v>2.558098307929817</v>
      </c>
      <c r="J78" s="90">
        <f t="shared" si="23"/>
        <v>2.5166861997170553</v>
      </c>
      <c r="K78" s="90">
        <f t="shared" si="23"/>
        <v>2.4415620961323463</v>
      </c>
      <c r="L78" s="90">
        <f t="shared" si="23"/>
        <v>2.4529898868631759</v>
      </c>
      <c r="N78" s="195"/>
      <c r="O78" s="60" t="s">
        <v>177</v>
      </c>
      <c r="P78" s="195"/>
    </row>
    <row r="79" spans="2:18" s="33" customFormat="1" x14ac:dyDescent="0.35">
      <c r="C79" s="69" t="str">
        <f t="shared" si="19"/>
        <v>Joint boxes</v>
      </c>
      <c r="D79" s="159">
        <f t="shared" ref="D79:L79" si="24">D70*Million/D27</f>
        <v>-0.15447980136810516</v>
      </c>
      <c r="E79" s="159">
        <f t="shared" si="24"/>
        <v>10.921774259923458</v>
      </c>
      <c r="F79" s="159">
        <f t="shared" si="24"/>
        <v>20.481106574457645</v>
      </c>
      <c r="G79" s="159">
        <f t="shared" si="24"/>
        <v>21.023720908423691</v>
      </c>
      <c r="H79" s="159">
        <f t="shared" si="24"/>
        <v>25.170090779675444</v>
      </c>
      <c r="I79" s="159">
        <f t="shared" si="24"/>
        <v>25.588803041038034</v>
      </c>
      <c r="J79" s="159">
        <f t="shared" si="24"/>
        <v>25.293786050381332</v>
      </c>
      <c r="K79" s="159">
        <f t="shared" si="24"/>
        <v>24.677547346800448</v>
      </c>
      <c r="L79" s="159">
        <f t="shared" si="24"/>
        <v>24.880043988821871</v>
      </c>
      <c r="N79" s="195"/>
      <c r="O79" s="60" t="s">
        <v>170</v>
      </c>
      <c r="P79" s="195"/>
    </row>
    <row r="80" spans="2:18" s="33" customFormat="1" x14ac:dyDescent="0.35">
      <c r="C80" s="69" t="str">
        <f t="shared" si="19"/>
        <v>Manholes</v>
      </c>
      <c r="D80" s="159">
        <f t="shared" ref="D80:L80" si="25">D71*Million/D28</f>
        <v>-13.721248428890945</v>
      </c>
      <c r="E80" s="159">
        <f t="shared" si="25"/>
        <v>209.29473477006596</v>
      </c>
      <c r="F80" s="159">
        <f t="shared" si="25"/>
        <v>409.32372954546952</v>
      </c>
      <c r="G80" s="159">
        <f t="shared" si="25"/>
        <v>425.04798615301377</v>
      </c>
      <c r="H80" s="159">
        <f t="shared" si="25"/>
        <v>517.60687804288807</v>
      </c>
      <c r="I80" s="159">
        <f t="shared" si="25"/>
        <v>530.70203826726981</v>
      </c>
      <c r="J80" s="159">
        <f t="shared" si="25"/>
        <v>529.04044193572656</v>
      </c>
      <c r="K80" s="159">
        <f t="shared" si="25"/>
        <v>520.93423145884856</v>
      </c>
      <c r="L80" s="159">
        <f t="shared" si="25"/>
        <v>527.61111830419895</v>
      </c>
      <c r="N80" s="195"/>
      <c r="O80" s="60" t="s">
        <v>171</v>
      </c>
      <c r="P80" s="195"/>
    </row>
    <row r="81" spans="1:16" s="33" customFormat="1" ht="7.15" customHeight="1" x14ac:dyDescent="0.35">
      <c r="C81" s="69"/>
      <c r="D81" s="306"/>
      <c r="E81" s="306"/>
      <c r="F81" s="306"/>
      <c r="G81" s="306"/>
      <c r="H81" s="306"/>
      <c r="I81" s="306"/>
      <c r="J81" s="306"/>
      <c r="K81" s="306"/>
      <c r="L81" s="306"/>
      <c r="N81" s="195"/>
      <c r="O81" s="195"/>
      <c r="P81" s="195"/>
    </row>
    <row r="82" spans="1:16" s="33" customFormat="1" x14ac:dyDescent="0.35">
      <c r="B82" s="33" t="s">
        <v>144</v>
      </c>
      <c r="C82" s="69" t="str">
        <f t="shared" ref="C82:C87" si="26">C33</f>
        <v>Lead-in duct</v>
      </c>
      <c r="D82" s="357"/>
      <c r="E82" s="357"/>
      <c r="F82" s="357"/>
      <c r="G82" s="357"/>
      <c r="H82" s="77">
        <f>SUMPRODUCT(H75:H80,H33:H38,H49:H54,H57:H62)</f>
        <v>13.649017577953067</v>
      </c>
      <c r="I82" s="77">
        <f>SUMPRODUCT(I75:I80,I33:I38,I49:I54,I57:I62)</f>
        <v>12.410008523012518</v>
      </c>
      <c r="J82" s="77">
        <f>SUMPRODUCT(J75:J80,J33:J38,J49:J54,J57:J62)</f>
        <v>10.817595681287896</v>
      </c>
      <c r="K82" s="77">
        <f>SUMPRODUCT(K75:K80,K33:K38,K49:K54,K57:K62)</f>
        <v>9.1324669025491687</v>
      </c>
      <c r="L82" s="77">
        <f>SUMPRODUCT(L75:L80,L33:L38,L49:L54,L57:L62)</f>
        <v>7.7390845935863908</v>
      </c>
      <c r="N82" s="195"/>
      <c r="O82" s="195"/>
      <c r="P82" s="195"/>
    </row>
    <row r="83" spans="1:16" s="33" customFormat="1" x14ac:dyDescent="0.35">
      <c r="C83" s="69" t="str">
        <f t="shared" si="26"/>
        <v>Spine duct – single bore</v>
      </c>
      <c r="D83" s="357"/>
      <c r="E83" s="357"/>
      <c r="F83" s="357"/>
      <c r="G83" s="357"/>
      <c r="H83" s="77">
        <f t="shared" ref="H83:L87" si="27">H76*H34</f>
        <v>0.51455375373822654</v>
      </c>
      <c r="I83" s="77">
        <f t="shared" si="27"/>
        <v>0.52390528787059887</v>
      </c>
      <c r="J83" s="77">
        <f t="shared" si="27"/>
        <v>0.51925925388560301</v>
      </c>
      <c r="K83" s="77">
        <f t="shared" si="27"/>
        <v>0.50827967036157717</v>
      </c>
      <c r="L83" s="77">
        <f t="shared" si="27"/>
        <v>0.51381490964767229</v>
      </c>
      <c r="N83" s="195"/>
      <c r="O83" s="195"/>
      <c r="P83" s="195"/>
    </row>
    <row r="84" spans="1:16" s="33" customFormat="1" x14ac:dyDescent="0.35">
      <c r="C84" s="69" t="str">
        <f t="shared" si="26"/>
        <v>Spine duct – 2 bores</v>
      </c>
      <c r="D84" s="357"/>
      <c r="E84" s="357"/>
      <c r="F84" s="357"/>
      <c r="G84" s="357"/>
      <c r="H84" s="77">
        <f t="shared" si="27"/>
        <v>0.41360380632021698</v>
      </c>
      <c r="I84" s="77">
        <f t="shared" si="27"/>
        <v>0.42188519095666566</v>
      </c>
      <c r="J84" s="77">
        <f t="shared" si="27"/>
        <v>0.4183015208082535</v>
      </c>
      <c r="K84" s="77">
        <f t="shared" si="27"/>
        <v>0.40942232436764686</v>
      </c>
      <c r="L84" s="77">
        <f t="shared" si="27"/>
        <v>0.41334329243355128</v>
      </c>
      <c r="N84" s="195"/>
      <c r="O84" s="195"/>
      <c r="P84" s="195"/>
    </row>
    <row r="85" spans="1:16" s="33" customFormat="1" x14ac:dyDescent="0.35">
      <c r="C85" s="69" t="str">
        <f t="shared" si="26"/>
        <v>Spine duct – 3+ bores</v>
      </c>
      <c r="D85" s="357"/>
      <c r="E85" s="357"/>
      <c r="F85" s="357"/>
      <c r="G85" s="357"/>
      <c r="H85" s="77">
        <f t="shared" si="27"/>
        <v>0.25263093505900619</v>
      </c>
      <c r="I85" s="77">
        <f t="shared" si="27"/>
        <v>0.2558098307929817</v>
      </c>
      <c r="J85" s="77">
        <f t="shared" si="27"/>
        <v>0.25166861997170553</v>
      </c>
      <c r="K85" s="77">
        <f t="shared" si="27"/>
        <v>0.24415620961323464</v>
      </c>
      <c r="L85" s="77">
        <f t="shared" si="27"/>
        <v>0.24529898868631761</v>
      </c>
      <c r="N85" s="195"/>
      <c r="O85" s="195"/>
      <c r="P85" s="195"/>
    </row>
    <row r="86" spans="1:16" s="33" customFormat="1" x14ac:dyDescent="0.35">
      <c r="C86" s="69" t="str">
        <f t="shared" si="26"/>
        <v>Joint boxes</v>
      </c>
      <c r="D86" s="357"/>
      <c r="E86" s="357"/>
      <c r="F86" s="357"/>
      <c r="G86" s="357"/>
      <c r="H86" s="77">
        <f t="shared" si="27"/>
        <v>3.7755136169513164</v>
      </c>
      <c r="I86" s="77">
        <f t="shared" si="27"/>
        <v>3.8383204561557047</v>
      </c>
      <c r="J86" s="77">
        <f t="shared" si="27"/>
        <v>3.7940679075571997</v>
      </c>
      <c r="K86" s="77">
        <f t="shared" si="27"/>
        <v>3.7016321020200671</v>
      </c>
      <c r="L86" s="77">
        <f t="shared" si="27"/>
        <v>3.7320065983232804</v>
      </c>
      <c r="N86" s="195"/>
      <c r="O86" s="195"/>
      <c r="P86" s="195"/>
    </row>
    <row r="87" spans="1:16" s="33" customFormat="1" x14ac:dyDescent="0.35">
      <c r="C87" s="69" t="str">
        <f t="shared" si="26"/>
        <v>Manholes</v>
      </c>
      <c r="D87" s="357"/>
      <c r="E87" s="357"/>
      <c r="F87" s="357"/>
      <c r="G87" s="357"/>
      <c r="H87" s="77">
        <f t="shared" si="27"/>
        <v>17.081026975415305</v>
      </c>
      <c r="I87" s="77">
        <f t="shared" si="27"/>
        <v>17.513167262819906</v>
      </c>
      <c r="J87" s="77">
        <f t="shared" si="27"/>
        <v>17.458334583878976</v>
      </c>
      <c r="K87" s="77">
        <f t="shared" si="27"/>
        <v>17.190829638142002</v>
      </c>
      <c r="L87" s="77">
        <f t="shared" si="27"/>
        <v>17.411166904038566</v>
      </c>
      <c r="N87" s="195"/>
      <c r="O87" s="195"/>
      <c r="P87" s="195"/>
    </row>
    <row r="88" spans="1:16" s="33" customFormat="1" ht="11.65" customHeight="1" x14ac:dyDescent="0.35">
      <c r="C88" s="69"/>
      <c r="K88" s="196"/>
      <c r="L88" s="196"/>
      <c r="N88" s="195"/>
      <c r="O88" s="195"/>
      <c r="P88" s="195"/>
    </row>
    <row r="89" spans="1:16" s="33" customFormat="1" x14ac:dyDescent="0.35">
      <c r="B89" s="130" t="s">
        <v>73</v>
      </c>
      <c r="C89" s="131" t="str">
        <f t="shared" ref="C89:C94" si="28">C33</f>
        <v>Lead-in duct</v>
      </c>
      <c r="D89" s="358"/>
      <c r="E89" s="358"/>
      <c r="F89" s="358"/>
      <c r="G89" s="358"/>
      <c r="H89" s="175">
        <f>ROUND(H82,2)</f>
        <v>13.65</v>
      </c>
      <c r="I89" s="175">
        <f t="shared" ref="I89" si="29">ROUND(I82,2)</f>
        <v>12.41</v>
      </c>
      <c r="J89" s="175">
        <f>ROUND(J82,2)</f>
        <v>10.82</v>
      </c>
      <c r="K89" s="175">
        <f t="shared" ref="K89:L89" si="30">ROUND(K82,2)</f>
        <v>9.1300000000000008</v>
      </c>
      <c r="L89" s="175">
        <f t="shared" si="30"/>
        <v>7.74</v>
      </c>
      <c r="M89" s="157"/>
      <c r="N89" s="195"/>
      <c r="O89" s="195"/>
      <c r="P89" s="195"/>
    </row>
    <row r="90" spans="1:16" s="33" customFormat="1" x14ac:dyDescent="0.35">
      <c r="B90" s="130" t="s">
        <v>145</v>
      </c>
      <c r="C90" s="131" t="str">
        <f t="shared" si="28"/>
        <v>Spine duct – single bore</v>
      </c>
      <c r="D90" s="358"/>
      <c r="E90" s="358"/>
      <c r="F90" s="358"/>
      <c r="G90" s="358"/>
      <c r="H90" s="175">
        <f t="shared" ref="H90:J90" si="31">ROUND(H83,2)</f>
        <v>0.51</v>
      </c>
      <c r="I90" s="175">
        <f t="shared" si="31"/>
        <v>0.52</v>
      </c>
      <c r="J90" s="175">
        <f t="shared" si="31"/>
        <v>0.52</v>
      </c>
      <c r="K90" s="175">
        <f t="shared" ref="K90:L90" si="32">ROUND(K83,2)</f>
        <v>0.51</v>
      </c>
      <c r="L90" s="175">
        <f t="shared" si="32"/>
        <v>0.51</v>
      </c>
      <c r="N90" s="195"/>
      <c r="O90" s="195"/>
      <c r="P90" s="195"/>
    </row>
    <row r="91" spans="1:16" s="33" customFormat="1" x14ac:dyDescent="0.35">
      <c r="B91" s="130"/>
      <c r="C91" s="131" t="str">
        <f t="shared" si="28"/>
        <v>Spine duct – 2 bores</v>
      </c>
      <c r="D91" s="358"/>
      <c r="E91" s="358"/>
      <c r="F91" s="358"/>
      <c r="G91" s="358"/>
      <c r="H91" s="175">
        <f t="shared" ref="H91:J91" si="33">ROUND(H84,2)</f>
        <v>0.41</v>
      </c>
      <c r="I91" s="175">
        <f t="shared" si="33"/>
        <v>0.42</v>
      </c>
      <c r="J91" s="175">
        <f t="shared" si="33"/>
        <v>0.42</v>
      </c>
      <c r="K91" s="175">
        <f t="shared" ref="K91:L91" si="34">ROUND(K84,2)</f>
        <v>0.41</v>
      </c>
      <c r="L91" s="175">
        <f t="shared" si="34"/>
        <v>0.41</v>
      </c>
      <c r="N91" s="195"/>
      <c r="O91" s="195"/>
      <c r="P91" s="195"/>
    </row>
    <row r="92" spans="1:16" s="33" customFormat="1" x14ac:dyDescent="0.35">
      <c r="B92" s="130"/>
      <c r="C92" s="131" t="str">
        <f t="shared" si="28"/>
        <v>Spine duct – 3+ bores</v>
      </c>
      <c r="D92" s="358"/>
      <c r="E92" s="358"/>
      <c r="F92" s="358"/>
      <c r="G92" s="358"/>
      <c r="H92" s="175">
        <f t="shared" ref="H92:J92" si="35">ROUND(H85,2)</f>
        <v>0.25</v>
      </c>
      <c r="I92" s="175">
        <f t="shared" si="35"/>
        <v>0.26</v>
      </c>
      <c r="J92" s="175">
        <f t="shared" si="35"/>
        <v>0.25</v>
      </c>
      <c r="K92" s="175">
        <f t="shared" ref="K92:L92" si="36">ROUND(K85,2)</f>
        <v>0.24</v>
      </c>
      <c r="L92" s="175">
        <f t="shared" si="36"/>
        <v>0.25</v>
      </c>
      <c r="N92" s="195"/>
      <c r="O92" s="195"/>
      <c r="P92" s="195"/>
    </row>
    <row r="93" spans="1:16" s="33" customFormat="1" x14ac:dyDescent="0.35">
      <c r="B93" s="130"/>
      <c r="C93" s="131" t="str">
        <f t="shared" si="28"/>
        <v>Joint boxes</v>
      </c>
      <c r="D93" s="358"/>
      <c r="E93" s="358"/>
      <c r="F93" s="358"/>
      <c r="G93" s="358"/>
      <c r="H93" s="175">
        <f t="shared" ref="H93:J93" si="37">ROUND(H86,2)</f>
        <v>3.78</v>
      </c>
      <c r="I93" s="175">
        <f t="shared" si="37"/>
        <v>3.84</v>
      </c>
      <c r="J93" s="175">
        <f t="shared" si="37"/>
        <v>3.79</v>
      </c>
      <c r="K93" s="175">
        <f t="shared" ref="K93:L93" si="38">ROUND(K86,2)</f>
        <v>3.7</v>
      </c>
      <c r="L93" s="175">
        <f t="shared" si="38"/>
        <v>3.73</v>
      </c>
      <c r="N93" s="195"/>
      <c r="O93" s="195"/>
      <c r="P93" s="195"/>
    </row>
    <row r="94" spans="1:16" s="33" customFormat="1" x14ac:dyDescent="0.35">
      <c r="B94" s="130"/>
      <c r="C94" s="131" t="str">
        <f t="shared" si="28"/>
        <v>Manholes</v>
      </c>
      <c r="D94" s="358"/>
      <c r="E94" s="358"/>
      <c r="F94" s="358"/>
      <c r="G94" s="358"/>
      <c r="H94" s="175">
        <f t="shared" ref="H94:J94" si="39">ROUND(H87,2)</f>
        <v>17.079999999999998</v>
      </c>
      <c r="I94" s="175">
        <f t="shared" si="39"/>
        <v>17.510000000000002</v>
      </c>
      <c r="J94" s="175">
        <f t="shared" si="39"/>
        <v>17.46</v>
      </c>
      <c r="K94" s="175">
        <f t="shared" ref="K94:L94" si="40">ROUND(K87,2)</f>
        <v>17.190000000000001</v>
      </c>
      <c r="L94" s="175">
        <f t="shared" si="40"/>
        <v>17.41</v>
      </c>
      <c r="N94" s="195"/>
      <c r="O94" s="195"/>
      <c r="P94" s="195"/>
    </row>
    <row r="95" spans="1:16" ht="11.65" customHeight="1" x14ac:dyDescent="0.35">
      <c r="N95" s="195"/>
      <c r="O95" s="195"/>
      <c r="P95" s="195"/>
    </row>
    <row r="96" spans="1:16" ht="7.5" customHeight="1" thickBot="1" x14ac:dyDescent="0.4">
      <c r="A96" s="2"/>
      <c r="B96" s="2"/>
      <c r="C96" s="2"/>
      <c r="D96" s="2"/>
      <c r="E96" s="2"/>
      <c r="F96" s="2"/>
      <c r="G96" s="2"/>
      <c r="H96" s="2"/>
      <c r="I96" s="2"/>
      <c r="J96" s="2"/>
      <c r="K96" s="2"/>
      <c r="L96" s="2"/>
      <c r="M96" s="2"/>
      <c r="N96" s="2"/>
      <c r="O96" s="2"/>
      <c r="P96" s="2"/>
    </row>
    <row r="97" spans="1:16" ht="7.5" customHeight="1" x14ac:dyDescent="0.35"/>
    <row r="98" spans="1:16" s="33" customFormat="1" ht="15.5" x14ac:dyDescent="0.35">
      <c r="A98" s="11" t="s">
        <v>275</v>
      </c>
      <c r="K98" s="196"/>
      <c r="L98" s="196"/>
    </row>
    <row r="99" spans="1:16" s="33" customFormat="1" ht="15.5" x14ac:dyDescent="0.35">
      <c r="A99" s="11"/>
      <c r="D99" s="190">
        <v>44652</v>
      </c>
      <c r="E99" s="190">
        <v>45017</v>
      </c>
      <c r="F99" s="190">
        <v>45383</v>
      </c>
      <c r="G99" s="190">
        <v>45748</v>
      </c>
      <c r="H99" s="196"/>
      <c r="K99" s="196"/>
      <c r="L99" s="196"/>
    </row>
    <row r="100" spans="1:16" s="33" customFormat="1" ht="13" x14ac:dyDescent="0.3">
      <c r="C100" s="208" t="str">
        <f t="shared" ref="C100:G105" si="41">C41</f>
        <v>Lead-in duct</v>
      </c>
      <c r="D100" s="164">
        <f t="shared" si="41"/>
        <v>9.94</v>
      </c>
      <c r="E100" s="164">
        <f t="shared" si="41"/>
        <v>11.09</v>
      </c>
      <c r="F100" s="165">
        <f t="shared" si="41"/>
        <v>11.64</v>
      </c>
      <c r="G100" s="166">
        <f t="shared" si="41"/>
        <v>11.96</v>
      </c>
      <c r="H100" s="196"/>
      <c r="K100" s="196"/>
      <c r="L100" s="196"/>
    </row>
    <row r="101" spans="1:16" s="33" customFormat="1" ht="13" x14ac:dyDescent="0.3">
      <c r="C101" s="208" t="str">
        <f t="shared" si="41"/>
        <v>Spine duct – single bore</v>
      </c>
      <c r="D101" s="167">
        <f t="shared" si="41"/>
        <v>0.31</v>
      </c>
      <c r="E101" s="167">
        <f t="shared" si="41"/>
        <v>0.35</v>
      </c>
      <c r="F101" s="165">
        <f t="shared" si="41"/>
        <v>0.37</v>
      </c>
      <c r="G101" s="166">
        <f t="shared" si="41"/>
        <v>0.39</v>
      </c>
      <c r="H101" s="196"/>
      <c r="K101" s="196"/>
      <c r="L101" s="196"/>
    </row>
    <row r="102" spans="1:16" s="33" customFormat="1" ht="13" x14ac:dyDescent="0.3">
      <c r="C102" s="208" t="str">
        <f t="shared" si="41"/>
        <v>Spine duct – 2 bores</v>
      </c>
      <c r="D102" s="167">
        <f t="shared" si="41"/>
        <v>0.2</v>
      </c>
      <c r="E102" s="167">
        <f t="shared" si="41"/>
        <v>0.24</v>
      </c>
      <c r="F102" s="165">
        <f t="shared" si="41"/>
        <v>0.26</v>
      </c>
      <c r="G102" s="166">
        <f t="shared" si="41"/>
        <v>0.28000000000000003</v>
      </c>
      <c r="H102" s="196"/>
      <c r="K102" s="196"/>
      <c r="L102" s="196"/>
    </row>
    <row r="103" spans="1:16" s="33" customFormat="1" ht="13" x14ac:dyDescent="0.3">
      <c r="C103" s="208" t="str">
        <f t="shared" si="41"/>
        <v>Spine duct – 3+ bores</v>
      </c>
      <c r="D103" s="167">
        <f t="shared" si="41"/>
        <v>0.14000000000000001</v>
      </c>
      <c r="E103" s="167">
        <f t="shared" si="41"/>
        <v>0.16</v>
      </c>
      <c r="F103" s="165">
        <f t="shared" si="41"/>
        <v>0.18</v>
      </c>
      <c r="G103" s="166">
        <f t="shared" si="41"/>
        <v>0.19</v>
      </c>
      <c r="H103" s="196"/>
      <c r="K103" s="196"/>
      <c r="L103" s="196"/>
    </row>
    <row r="104" spans="1:16" s="33" customFormat="1" ht="13" x14ac:dyDescent="0.3">
      <c r="C104" s="208" t="str">
        <f t="shared" si="41"/>
        <v>Joint boxes</v>
      </c>
      <c r="D104" s="168">
        <f t="shared" si="41"/>
        <v>2.2400000000000002</v>
      </c>
      <c r="E104" s="168">
        <f t="shared" si="41"/>
        <v>2.5099999999999998</v>
      </c>
      <c r="F104" s="165">
        <f t="shared" si="41"/>
        <v>2.65</v>
      </c>
      <c r="G104" s="166">
        <f t="shared" si="41"/>
        <v>2.75</v>
      </c>
      <c r="H104" s="196"/>
      <c r="I104" s="83"/>
      <c r="J104" s="83"/>
      <c r="K104" s="83"/>
      <c r="L104" s="83"/>
      <c r="M104" s="161"/>
      <c r="O104" s="162"/>
    </row>
    <row r="105" spans="1:16" s="33" customFormat="1" ht="13" x14ac:dyDescent="0.3">
      <c r="C105" s="208" t="str">
        <f t="shared" si="41"/>
        <v>Manholes</v>
      </c>
      <c r="D105" s="168">
        <f t="shared" si="41"/>
        <v>9.43</v>
      </c>
      <c r="E105" s="168">
        <f t="shared" si="41"/>
        <v>10.63</v>
      </c>
      <c r="F105" s="165">
        <f t="shared" si="41"/>
        <v>11.29</v>
      </c>
      <c r="G105" s="166">
        <f t="shared" si="41"/>
        <v>11.73</v>
      </c>
      <c r="H105" s="196"/>
      <c r="I105" s="83"/>
      <c r="J105" s="83"/>
      <c r="K105" s="83"/>
      <c r="L105" s="83"/>
      <c r="M105" s="161"/>
      <c r="O105" s="162"/>
    </row>
    <row r="106" spans="1:16" s="8" customFormat="1" ht="7.5" customHeight="1" thickBot="1" x14ac:dyDescent="0.4">
      <c r="A106" s="2"/>
      <c r="B106" s="2"/>
      <c r="C106" s="2"/>
      <c r="D106" s="2"/>
      <c r="E106" s="2"/>
      <c r="F106" s="2"/>
      <c r="G106" s="2"/>
      <c r="H106" s="2"/>
      <c r="I106" s="2"/>
      <c r="J106" s="2"/>
      <c r="K106" s="2"/>
      <c r="L106" s="2"/>
      <c r="M106" s="2"/>
      <c r="N106" s="2"/>
      <c r="O106" s="2"/>
      <c r="P106" s="2"/>
    </row>
    <row r="107" spans="1:16" s="8" customFormat="1" ht="7.5" customHeight="1" x14ac:dyDescent="0.35">
      <c r="K107" s="195"/>
      <c r="L107" s="195"/>
    </row>
    <row r="108" spans="1:16" s="33" customFormat="1" ht="15.5" x14ac:dyDescent="0.35">
      <c r="A108" s="11" t="s">
        <v>147</v>
      </c>
      <c r="C108" s="186" t="s">
        <v>154</v>
      </c>
      <c r="D108" s="39" t="s">
        <v>36</v>
      </c>
      <c r="E108" s="39" t="s">
        <v>37</v>
      </c>
      <c r="F108" s="39" t="s">
        <v>40</v>
      </c>
      <c r="G108" s="39" t="s">
        <v>39</v>
      </c>
      <c r="H108" s="39" t="s">
        <v>266</v>
      </c>
      <c r="I108" s="39" t="s">
        <v>267</v>
      </c>
      <c r="J108" s="39" t="s">
        <v>268</v>
      </c>
      <c r="K108" s="39" t="s">
        <v>269</v>
      </c>
      <c r="L108" s="39" t="s">
        <v>270</v>
      </c>
    </row>
    <row r="109" spans="1:16" s="33" customFormat="1" ht="13" x14ac:dyDescent="0.3">
      <c r="C109" s="69" t="str">
        <f>C100</f>
        <v>Lead-in duct</v>
      </c>
      <c r="D109" s="356"/>
      <c r="E109" s="356"/>
      <c r="F109" s="356"/>
      <c r="G109" s="356"/>
      <c r="H109" s="119">
        <f t="shared" ref="H109:H114" si="42">H89</f>
        <v>13.65</v>
      </c>
      <c r="I109" s="119">
        <f t="shared" ref="I109:L109" si="43">I89</f>
        <v>12.41</v>
      </c>
      <c r="J109" s="119">
        <f t="shared" si="43"/>
        <v>10.82</v>
      </c>
      <c r="K109" s="119">
        <f t="shared" si="43"/>
        <v>9.1300000000000008</v>
      </c>
      <c r="L109" s="119">
        <f t="shared" si="43"/>
        <v>7.74</v>
      </c>
    </row>
    <row r="110" spans="1:16" s="33" customFormat="1" ht="13" x14ac:dyDescent="0.3">
      <c r="C110" s="208" t="str">
        <f t="shared" ref="C110:C114" si="44">C101</f>
        <v>Spine duct – single bore</v>
      </c>
      <c r="D110" s="356"/>
      <c r="E110" s="356"/>
      <c r="F110" s="356"/>
      <c r="G110" s="356"/>
      <c r="H110" s="119">
        <f t="shared" si="42"/>
        <v>0.51</v>
      </c>
      <c r="I110" s="119">
        <f t="shared" ref="I110:L114" si="45">I90</f>
        <v>0.52</v>
      </c>
      <c r="J110" s="119">
        <f t="shared" si="45"/>
        <v>0.52</v>
      </c>
      <c r="K110" s="119">
        <f t="shared" si="45"/>
        <v>0.51</v>
      </c>
      <c r="L110" s="119">
        <f t="shared" si="45"/>
        <v>0.51</v>
      </c>
    </row>
    <row r="111" spans="1:16" s="33" customFormat="1" ht="13" x14ac:dyDescent="0.3">
      <c r="C111" s="208" t="str">
        <f t="shared" si="44"/>
        <v>Spine duct – 2 bores</v>
      </c>
      <c r="D111" s="356"/>
      <c r="E111" s="356"/>
      <c r="F111" s="356"/>
      <c r="G111" s="356"/>
      <c r="H111" s="119">
        <f t="shared" si="42"/>
        <v>0.41</v>
      </c>
      <c r="I111" s="119">
        <f t="shared" si="45"/>
        <v>0.42</v>
      </c>
      <c r="J111" s="119">
        <f t="shared" si="45"/>
        <v>0.42</v>
      </c>
      <c r="K111" s="119">
        <f t="shared" si="45"/>
        <v>0.41</v>
      </c>
      <c r="L111" s="119">
        <f t="shared" si="45"/>
        <v>0.41</v>
      </c>
    </row>
    <row r="112" spans="1:16" s="33" customFormat="1" ht="13" x14ac:dyDescent="0.3">
      <c r="C112" s="208" t="str">
        <f t="shared" si="44"/>
        <v>Spine duct – 3+ bores</v>
      </c>
      <c r="D112" s="356"/>
      <c r="E112" s="356"/>
      <c r="F112" s="356"/>
      <c r="G112" s="356"/>
      <c r="H112" s="119">
        <f t="shared" si="42"/>
        <v>0.25</v>
      </c>
      <c r="I112" s="119">
        <f t="shared" si="45"/>
        <v>0.26</v>
      </c>
      <c r="J112" s="119">
        <f t="shared" si="45"/>
        <v>0.25</v>
      </c>
      <c r="K112" s="119">
        <f t="shared" si="45"/>
        <v>0.24</v>
      </c>
      <c r="L112" s="119">
        <f t="shared" si="45"/>
        <v>0.25</v>
      </c>
    </row>
    <row r="113" spans="3:16" s="33" customFormat="1" ht="13" x14ac:dyDescent="0.3">
      <c r="C113" s="208" t="str">
        <f t="shared" si="44"/>
        <v>Joint boxes</v>
      </c>
      <c r="D113" s="356"/>
      <c r="E113" s="356"/>
      <c r="F113" s="356"/>
      <c r="G113" s="356"/>
      <c r="H113" s="119">
        <f t="shared" si="42"/>
        <v>3.78</v>
      </c>
      <c r="I113" s="119">
        <f t="shared" si="45"/>
        <v>3.84</v>
      </c>
      <c r="J113" s="119">
        <f t="shared" si="45"/>
        <v>3.79</v>
      </c>
      <c r="K113" s="119">
        <f t="shared" si="45"/>
        <v>3.7</v>
      </c>
      <c r="L113" s="119">
        <f t="shared" si="45"/>
        <v>3.73</v>
      </c>
    </row>
    <row r="114" spans="3:16" s="33" customFormat="1" ht="13" x14ac:dyDescent="0.3">
      <c r="C114" s="208" t="str">
        <f t="shared" si="44"/>
        <v>Manholes</v>
      </c>
      <c r="D114" s="356"/>
      <c r="E114" s="356"/>
      <c r="F114" s="356"/>
      <c r="G114" s="356"/>
      <c r="H114" s="119">
        <f t="shared" si="42"/>
        <v>17.079999999999998</v>
      </c>
      <c r="I114" s="119">
        <f t="shared" si="45"/>
        <v>17.510000000000002</v>
      </c>
      <c r="J114" s="119">
        <f t="shared" si="45"/>
        <v>17.46</v>
      </c>
      <c r="K114" s="119">
        <f t="shared" si="45"/>
        <v>17.190000000000001</v>
      </c>
      <c r="L114" s="119">
        <f t="shared" si="45"/>
        <v>17.41</v>
      </c>
    </row>
    <row r="115" spans="3:16" s="33" customFormat="1" ht="13" x14ac:dyDescent="0.3">
      <c r="C115" s="69"/>
      <c r="D115" s="169"/>
      <c r="E115" s="169"/>
      <c r="F115" s="169"/>
      <c r="G115" s="169"/>
      <c r="H115" s="169"/>
      <c r="I115" s="169"/>
      <c r="J115" s="169"/>
      <c r="K115" s="169"/>
      <c r="L115" s="169"/>
      <c r="M115" s="215" t="s">
        <v>207</v>
      </c>
    </row>
    <row r="116" spans="3:16" s="33" customFormat="1" ht="13" x14ac:dyDescent="0.3">
      <c r="C116" s="130" t="s">
        <v>114</v>
      </c>
      <c r="D116" s="131" cm="1">
        <f t="array" ref="D116:L116">CPI</f>
        <v>0.10036409874522789</v>
      </c>
      <c r="E116" s="131">
        <v>5.6703919580784135E-2</v>
      </c>
      <c r="F116" s="131">
        <v>2.2608687962007545E-2</v>
      </c>
      <c r="G116" s="131">
        <v>2.5861655271887107E-2</v>
      </c>
      <c r="H116" s="131">
        <v>2.1778243527577512E-2</v>
      </c>
      <c r="I116" s="131">
        <v>2.1112015247234828E-2</v>
      </c>
      <c r="J116" s="131">
        <v>2.0605611437519933E-2</v>
      </c>
      <c r="K116" s="131">
        <v>2.0170109706586503E-2</v>
      </c>
      <c r="L116" s="131">
        <v>0.02</v>
      </c>
      <c r="M116" s="52">
        <f>(L117/G117)^(1/5)-1</f>
        <v>2.0732989647421762E-2</v>
      </c>
    </row>
    <row r="117" spans="3:16" s="33" customFormat="1" ht="13" x14ac:dyDescent="0.3">
      <c r="C117" s="130" t="s">
        <v>212</v>
      </c>
      <c r="D117" s="170"/>
      <c r="E117" s="170"/>
      <c r="F117" s="170"/>
      <c r="G117" s="170">
        <v>100</v>
      </c>
      <c r="H117" s="170">
        <f t="shared" ref="H117:J117" si="46">G117*(1+H116)</f>
        <v>102.17782435275775</v>
      </c>
      <c r="I117" s="170">
        <f t="shared" si="46"/>
        <v>104.33500413842246</v>
      </c>
      <c r="J117" s="170">
        <f t="shared" si="46"/>
        <v>106.48489069303083</v>
      </c>
      <c r="K117" s="170">
        <f t="shared" ref="K117" si="47">J117*(1+K116)</f>
        <v>108.63270262040314</v>
      </c>
      <c r="L117" s="170">
        <f t="shared" ref="L117" si="48">K117*(1+L116)</f>
        <v>110.8053566728112</v>
      </c>
    </row>
    <row r="118" spans="3:16" s="33" customFormat="1" ht="13" x14ac:dyDescent="0.3">
      <c r="D118" s="83"/>
      <c r="E118" s="83"/>
      <c r="F118" s="83"/>
      <c r="G118" s="83"/>
      <c r="H118" s="83"/>
      <c r="I118" s="83"/>
      <c r="J118" s="83"/>
      <c r="K118" s="83"/>
      <c r="L118" s="83"/>
      <c r="M118" s="83"/>
    </row>
    <row r="119" spans="3:16" s="33" customFormat="1" ht="13" x14ac:dyDescent="0.3">
      <c r="C119" s="80" t="s">
        <v>148</v>
      </c>
      <c r="E119" s="83"/>
      <c r="G119" s="215" t="s">
        <v>149</v>
      </c>
      <c r="H119" s="196"/>
      <c r="J119" s="196"/>
      <c r="K119" s="196"/>
      <c r="L119" s="215" t="s">
        <v>150</v>
      </c>
      <c r="M119" s="79" t="s">
        <v>151</v>
      </c>
      <c r="O119" s="181" t="s">
        <v>152</v>
      </c>
    </row>
    <row r="120" spans="3:16" s="33" customFormat="1" ht="13" x14ac:dyDescent="0.3">
      <c r="C120" s="69" t="str">
        <f>C109</f>
        <v>Lead-in duct</v>
      </c>
      <c r="E120" s="83"/>
      <c r="G120" s="157">
        <f>G100</f>
        <v>11.96</v>
      </c>
      <c r="H120" s="196"/>
      <c r="J120" s="196"/>
      <c r="K120" s="119"/>
      <c r="L120" s="119">
        <f t="shared" ref="L120:L125" si="49">L109</f>
        <v>7.74</v>
      </c>
      <c r="M120" s="171">
        <f>100*L120/G120</f>
        <v>64.715719063545151</v>
      </c>
      <c r="O120" s="364">
        <f t="shared" ref="O120:O125" si="50">(M120/100)^(1/5)-1-$M$116</f>
        <v>-0.10408633835722969</v>
      </c>
    </row>
    <row r="121" spans="3:16" s="33" customFormat="1" ht="13" x14ac:dyDescent="0.3">
      <c r="C121" s="69" t="str">
        <f t="shared" ref="C121:C124" si="51">C110</f>
        <v>Spine duct – single bore</v>
      </c>
      <c r="E121" s="83"/>
      <c r="G121" s="157">
        <f t="shared" ref="G121:G125" si="52">G101</f>
        <v>0.39</v>
      </c>
      <c r="H121" s="196"/>
      <c r="J121" s="196"/>
      <c r="K121" s="119"/>
      <c r="L121" s="119">
        <f t="shared" si="49"/>
        <v>0.51</v>
      </c>
      <c r="M121" s="171">
        <f t="shared" ref="M121:M125" si="53">100*L121/G121</f>
        <v>130.76923076923077</v>
      </c>
      <c r="O121" s="364">
        <f t="shared" si="50"/>
        <v>3.4385209035782793E-2</v>
      </c>
    </row>
    <row r="122" spans="3:16" s="33" customFormat="1" ht="13" x14ac:dyDescent="0.3">
      <c r="C122" s="69" t="str">
        <f t="shared" si="51"/>
        <v>Spine duct – 2 bores</v>
      </c>
      <c r="E122" s="83"/>
      <c r="G122" s="157">
        <f t="shared" si="52"/>
        <v>0.28000000000000003</v>
      </c>
      <c r="H122" s="196"/>
      <c r="J122" s="196"/>
      <c r="K122" s="119"/>
      <c r="L122" s="119">
        <f t="shared" si="49"/>
        <v>0.41</v>
      </c>
      <c r="M122" s="171">
        <f t="shared" si="53"/>
        <v>146.42857142857142</v>
      </c>
      <c r="O122" s="364">
        <f t="shared" si="50"/>
        <v>5.8524733333881862E-2</v>
      </c>
    </row>
    <row r="123" spans="3:16" s="33" customFormat="1" ht="13" x14ac:dyDescent="0.3">
      <c r="C123" s="69" t="str">
        <f t="shared" si="51"/>
        <v>Spine duct – 3+ bores</v>
      </c>
      <c r="E123" s="83"/>
      <c r="G123" s="157">
        <f t="shared" si="52"/>
        <v>0.19</v>
      </c>
      <c r="H123" s="196"/>
      <c r="J123" s="196"/>
      <c r="K123" s="119"/>
      <c r="L123" s="119">
        <f t="shared" si="49"/>
        <v>0.25</v>
      </c>
      <c r="M123" s="171">
        <f t="shared" si="53"/>
        <v>131.57894736842104</v>
      </c>
      <c r="O123" s="364">
        <f t="shared" si="50"/>
        <v>3.5688632651621255E-2</v>
      </c>
    </row>
    <row r="124" spans="3:16" s="33" customFormat="1" ht="13" x14ac:dyDescent="0.3">
      <c r="C124" s="69" t="str">
        <f t="shared" si="51"/>
        <v>Joint boxes</v>
      </c>
      <c r="E124" s="83"/>
      <c r="G124" s="157">
        <f t="shared" si="52"/>
        <v>2.75</v>
      </c>
      <c r="H124" s="196"/>
      <c r="J124" s="196"/>
      <c r="K124" s="119"/>
      <c r="L124" s="119">
        <f t="shared" si="49"/>
        <v>3.73</v>
      </c>
      <c r="M124" s="171">
        <f t="shared" si="53"/>
        <v>135.63636363636363</v>
      </c>
      <c r="O124" s="364">
        <f t="shared" si="50"/>
        <v>4.2124965876727094E-2</v>
      </c>
    </row>
    <row r="125" spans="3:16" s="33" customFormat="1" ht="13" x14ac:dyDescent="0.3">
      <c r="C125" s="69" t="str">
        <f>C114</f>
        <v>Manholes</v>
      </c>
      <c r="E125" s="83"/>
      <c r="G125" s="157">
        <f t="shared" si="52"/>
        <v>11.73</v>
      </c>
      <c r="H125" s="196"/>
      <c r="J125" s="196"/>
      <c r="K125" s="119"/>
      <c r="L125" s="119">
        <f t="shared" si="49"/>
        <v>17.41</v>
      </c>
      <c r="M125" s="171">
        <f t="shared" si="53"/>
        <v>148.42284739982949</v>
      </c>
      <c r="O125" s="365">
        <f t="shared" si="50"/>
        <v>6.1448626091287206E-2</v>
      </c>
    </row>
    <row r="126" spans="3:16" s="33" customFormat="1" ht="13" x14ac:dyDescent="0.3">
      <c r="K126" s="196"/>
      <c r="L126" s="196"/>
    </row>
    <row r="127" spans="3:16" s="33" customFormat="1" ht="13" x14ac:dyDescent="0.3">
      <c r="C127" s="172" t="s">
        <v>153</v>
      </c>
      <c r="D127" s="79" t="str">
        <f t="shared" ref="D127:L127" si="54">D108</f>
        <v>2022/23</v>
      </c>
      <c r="E127" s="79" t="str">
        <f t="shared" si="54"/>
        <v>2023/24</v>
      </c>
      <c r="F127" s="79" t="str">
        <f t="shared" si="54"/>
        <v>2024/25</v>
      </c>
      <c r="G127" s="79" t="str">
        <f t="shared" si="54"/>
        <v>2025/26</v>
      </c>
      <c r="H127" s="79" t="str">
        <f t="shared" si="54"/>
        <v>2026/27</v>
      </c>
      <c r="I127" s="79" t="str">
        <f t="shared" si="54"/>
        <v>2027/28</v>
      </c>
      <c r="J127" s="79" t="str">
        <f t="shared" si="54"/>
        <v>2028/29</v>
      </c>
      <c r="K127" s="215" t="str">
        <f t="shared" si="54"/>
        <v>2029/30</v>
      </c>
      <c r="L127" s="215" t="str">
        <f t="shared" si="54"/>
        <v>2030/31</v>
      </c>
      <c r="O127" s="293" t="s">
        <v>208</v>
      </c>
      <c r="P127" s="293"/>
    </row>
    <row r="128" spans="3:16" s="33" customFormat="1" ht="13" x14ac:dyDescent="0.3">
      <c r="C128" s="160" t="str">
        <f>C120</f>
        <v>Lead-in duct</v>
      </c>
      <c r="D128" s="173">
        <f>D100</f>
        <v>9.94</v>
      </c>
      <c r="E128" s="173">
        <f t="shared" ref="E128:G128" si="55">E100</f>
        <v>11.09</v>
      </c>
      <c r="F128" s="173">
        <f t="shared" si="55"/>
        <v>11.64</v>
      </c>
      <c r="G128" s="173">
        <f t="shared" si="55"/>
        <v>11.96</v>
      </c>
      <c r="H128" s="173">
        <f t="shared" ref="H128:L133" si="56">G128*(1+H$116+$O120)</f>
        <v>10.97559518583736</v>
      </c>
      <c r="I128" s="173">
        <f t="shared" si="56"/>
        <v>10.064902604563187</v>
      </c>
      <c r="J128" s="173">
        <f t="shared" si="56"/>
        <v>9.2246772187581723</v>
      </c>
      <c r="K128" s="173">
        <f t="shared" si="56"/>
        <v>8.4505770960404814</v>
      </c>
      <c r="L128" s="173">
        <f t="shared" si="56"/>
        <v>7.7399990110289663</v>
      </c>
      <c r="O128" s="278" t="str">
        <f t="shared" ref="O128:O133" si="57">IF(ABS(L128-L109)&lt;0.00001,"ok","error")</f>
        <v>ok</v>
      </c>
    </row>
    <row r="129" spans="3:15" s="33" customFormat="1" ht="13" x14ac:dyDescent="0.3">
      <c r="C129" s="160" t="str">
        <f t="shared" ref="C129:C133" si="58">C121</f>
        <v>Spine duct – single bore</v>
      </c>
      <c r="D129" s="173">
        <f t="shared" ref="D129:G133" si="59">D101</f>
        <v>0.31</v>
      </c>
      <c r="E129" s="173">
        <f t="shared" si="59"/>
        <v>0.35</v>
      </c>
      <c r="F129" s="173">
        <f t="shared" si="59"/>
        <v>0.37</v>
      </c>
      <c r="G129" s="173">
        <f t="shared" si="59"/>
        <v>0.39</v>
      </c>
      <c r="H129" s="173">
        <f t="shared" si="56"/>
        <v>0.41190374649971051</v>
      </c>
      <c r="I129" s="173">
        <f t="shared" si="56"/>
        <v>0.43476326110222019</v>
      </c>
      <c r="J129" s="173">
        <f t="shared" si="56"/>
        <v>0.45867124954188004</v>
      </c>
      <c r="K129" s="173">
        <f t="shared" si="56"/>
        <v>0.48369420575859812</v>
      </c>
      <c r="L129" s="173">
        <f t="shared" si="56"/>
        <v>0.51000001624817637</v>
      </c>
      <c r="O129" s="278" t="str">
        <f t="shared" si="57"/>
        <v>ok</v>
      </c>
    </row>
    <row r="130" spans="3:15" s="33" customFormat="1" ht="13" x14ac:dyDescent="0.3">
      <c r="C130" s="160" t="str">
        <f t="shared" si="58"/>
        <v>Spine duct – 2 bores</v>
      </c>
      <c r="D130" s="173">
        <f t="shared" si="59"/>
        <v>0.2</v>
      </c>
      <c r="E130" s="173">
        <f t="shared" si="59"/>
        <v>0.24</v>
      </c>
      <c r="F130" s="173">
        <f t="shared" si="59"/>
        <v>0.26</v>
      </c>
      <c r="G130" s="173">
        <f t="shared" si="59"/>
        <v>0.28000000000000003</v>
      </c>
      <c r="H130" s="173">
        <f t="shared" si="56"/>
        <v>0.30248483352120864</v>
      </c>
      <c r="I130" s="173">
        <f t="shared" si="56"/>
        <v>0.32657374215793805</v>
      </c>
      <c r="J130" s="173">
        <f t="shared" si="56"/>
        <v>0.35241563496818257</v>
      </c>
      <c r="K130" s="173">
        <f t="shared" si="56"/>
        <v>0.38014892804701067</v>
      </c>
      <c r="L130" s="173">
        <f t="shared" si="56"/>
        <v>0.41000002124906321</v>
      </c>
      <c r="O130" s="278" t="str">
        <f t="shared" si="57"/>
        <v>ok</v>
      </c>
    </row>
    <row r="131" spans="3:15" s="33" customFormat="1" ht="13" x14ac:dyDescent="0.3">
      <c r="C131" s="160" t="str">
        <f t="shared" si="58"/>
        <v>Spine duct – 3+ bores</v>
      </c>
      <c r="D131" s="173">
        <f t="shared" si="59"/>
        <v>0.14000000000000001</v>
      </c>
      <c r="E131" s="173">
        <f t="shared" si="59"/>
        <v>0.16</v>
      </c>
      <c r="F131" s="173">
        <f t="shared" si="59"/>
        <v>0.18</v>
      </c>
      <c r="G131" s="173">
        <f t="shared" si="59"/>
        <v>0.19</v>
      </c>
      <c r="H131" s="173">
        <f t="shared" si="56"/>
        <v>0.20091870647404778</v>
      </c>
      <c r="I131" s="173">
        <f t="shared" si="56"/>
        <v>0.21233101917677377</v>
      </c>
      <c r="J131" s="173">
        <f t="shared" si="56"/>
        <v>0.2242840333980072</v>
      </c>
      <c r="K131" s="173">
        <f t="shared" si="56"/>
        <v>0.23681225743464615</v>
      </c>
      <c r="L131" s="173">
        <f t="shared" si="56"/>
        <v>0.25000000824632534</v>
      </c>
      <c r="O131" s="278" t="str">
        <f t="shared" si="57"/>
        <v>ok</v>
      </c>
    </row>
    <row r="132" spans="3:15" s="33" customFormat="1" ht="13" x14ac:dyDescent="0.3">
      <c r="C132" s="160" t="str">
        <f t="shared" si="58"/>
        <v>Joint boxes</v>
      </c>
      <c r="D132" s="173">
        <f t="shared" si="59"/>
        <v>2.2400000000000002</v>
      </c>
      <c r="E132" s="173">
        <f t="shared" si="59"/>
        <v>2.5099999999999998</v>
      </c>
      <c r="F132" s="173">
        <f t="shared" si="59"/>
        <v>2.65</v>
      </c>
      <c r="G132" s="173">
        <f t="shared" si="59"/>
        <v>2.75</v>
      </c>
      <c r="H132" s="173">
        <f t="shared" si="56"/>
        <v>2.9257338258618377</v>
      </c>
      <c r="I132" s="173">
        <f t="shared" si="56"/>
        <v>3.1107484005815995</v>
      </c>
      <c r="J132" s="173">
        <f t="shared" si="56"/>
        <v>3.3058874436294539</v>
      </c>
      <c r="K132" s="173">
        <f t="shared" si="56"/>
        <v>3.511827951800278</v>
      </c>
      <c r="L132" s="173">
        <f t="shared" si="56"/>
        <v>3.7300001434708068</v>
      </c>
      <c r="O132" s="278" t="str">
        <f t="shared" si="57"/>
        <v>ok</v>
      </c>
    </row>
    <row r="133" spans="3:15" s="33" customFormat="1" ht="13" x14ac:dyDescent="0.3">
      <c r="C133" s="160" t="str">
        <f t="shared" si="58"/>
        <v>Manholes</v>
      </c>
      <c r="D133" s="173">
        <f t="shared" si="59"/>
        <v>9.43</v>
      </c>
      <c r="E133" s="173">
        <f t="shared" si="59"/>
        <v>10.63</v>
      </c>
      <c r="F133" s="173">
        <f t="shared" si="59"/>
        <v>11.29</v>
      </c>
      <c r="G133" s="173">
        <f t="shared" si="59"/>
        <v>11.73</v>
      </c>
      <c r="H133" s="173">
        <f t="shared" si="56"/>
        <v>12.706251180629284</v>
      </c>
      <c r="I133" s="173">
        <f t="shared" si="56"/>
        <v>13.755287427110391</v>
      </c>
      <c r="J133" s="173">
        <f t="shared" si="56"/>
        <v>14.88396704893152</v>
      </c>
      <c r="K133" s="173">
        <f t="shared" si="56"/>
        <v>16.098777623122519</v>
      </c>
      <c r="L133" s="173">
        <f t="shared" si="56"/>
        <v>17.410000942275008</v>
      </c>
      <c r="N133" s="157"/>
      <c r="O133" s="278" t="str">
        <f t="shared" si="57"/>
        <v>ok</v>
      </c>
    </row>
    <row r="137" spans="3:15" x14ac:dyDescent="0.35">
      <c r="D137" s="194"/>
      <c r="E137" s="194"/>
      <c r="F137" s="194"/>
      <c r="G137" s="194"/>
      <c r="H137" s="194"/>
      <c r="I137" s="194"/>
      <c r="J137" s="194"/>
      <c r="K137" s="194"/>
      <c r="L137" s="194"/>
      <c r="M137" s="194"/>
    </row>
    <row r="138" spans="3:15" x14ac:dyDescent="0.35">
      <c r="D138" s="194"/>
      <c r="E138" s="194"/>
      <c r="F138" s="194"/>
      <c r="G138" s="194"/>
      <c r="H138" s="194"/>
      <c r="I138" s="194"/>
      <c r="J138" s="194"/>
      <c r="K138" s="194"/>
      <c r="L138" s="194"/>
      <c r="M138" s="194"/>
    </row>
    <row r="139" spans="3:15" x14ac:dyDescent="0.35">
      <c r="D139" s="194"/>
      <c r="E139" s="194"/>
      <c r="F139" s="194"/>
      <c r="G139" s="194"/>
      <c r="H139" s="194"/>
      <c r="I139" s="194"/>
      <c r="J139" s="194"/>
      <c r="K139" s="194"/>
      <c r="L139" s="194"/>
      <c r="M139" s="194"/>
    </row>
    <row r="140" spans="3:15" x14ac:dyDescent="0.35">
      <c r="D140" s="194"/>
      <c r="E140" s="194"/>
      <c r="F140" s="194"/>
      <c r="G140" s="194"/>
      <c r="H140" s="194"/>
      <c r="I140" s="194"/>
      <c r="J140" s="194"/>
      <c r="K140" s="194"/>
      <c r="L140" s="194"/>
      <c r="M140" s="194"/>
    </row>
    <row r="141" spans="3:15" x14ac:dyDescent="0.35">
      <c r="D141" s="194"/>
      <c r="E141" s="194"/>
      <c r="F141" s="194"/>
      <c r="G141" s="194"/>
      <c r="H141" s="194"/>
      <c r="I141" s="194"/>
      <c r="J141" s="194"/>
      <c r="K141" s="194"/>
      <c r="L141" s="194"/>
      <c r="M141" s="194"/>
    </row>
    <row r="142" spans="3:15" x14ac:dyDescent="0.35">
      <c r="D142" s="194"/>
      <c r="E142" s="194"/>
      <c r="F142" s="194"/>
      <c r="G142" s="194"/>
      <c r="H142" s="194"/>
      <c r="I142" s="194"/>
      <c r="J142" s="194"/>
      <c r="K142" s="194"/>
      <c r="L142" s="194"/>
      <c r="M142" s="194"/>
    </row>
    <row r="143" spans="3:15" x14ac:dyDescent="0.35">
      <c r="D143" s="194"/>
      <c r="E143" s="194"/>
      <c r="F143" s="194"/>
      <c r="G143" s="194"/>
      <c r="H143" s="194"/>
      <c r="I143" s="194"/>
      <c r="J143" s="194"/>
      <c r="K143" s="194"/>
      <c r="L143" s="194"/>
      <c r="M143" s="194"/>
    </row>
  </sheetData>
  <conditionalFormatting sqref="D12:L12">
    <cfRule type="cellIs" dxfId="8" priority="1" stopIfTrue="1" operator="notEqual">
      <formula>TRUE</formula>
    </cfRule>
  </conditionalFormatting>
  <conditionalFormatting sqref="D21:L21">
    <cfRule type="cellIs" dxfId="7" priority="2" stopIfTrue="1" operator="notEqual">
      <formula>TRUE</formula>
    </cfRule>
  </conditionalFormatting>
  <conditionalFormatting sqref="D73:L73">
    <cfRule type="cellIs" dxfId="6" priority="3" stopIfTrue="1" operator="notEqual">
      <formula>TRUE</formula>
    </cfRule>
  </conditionalFormatting>
  <printOptions horizontalCentered="1" verticalCentered="1"/>
  <pageMargins left="0.19685039370078741" right="0.19685039370078741" top="0.39370078740157483" bottom="0.19685039370078741" header="0.19685039370078741" footer="0.19685039370078741"/>
  <pageSetup paperSize="9" scale="60" orientation="landscape" r:id="rId1"/>
  <headerFooter>
    <oddHeader>&amp;L&amp;"Calibri"&amp;11&amp;K000000File: &amp;F Tab: &amp;A&amp;CPage &amp;P of &amp;N&amp;R&amp;"Calibri"&amp;11&amp;K000000File: &amp;F Tab: &amp;A</oddHeader>
  </headerFooter>
  <rowBreaks count="1" manualBreakCount="1">
    <brk id="10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7772-4C99-44AB-9807-95FA85C135BC}">
  <sheetPr codeName="Sheet15">
    <tabColor rgb="FF92D050"/>
  </sheetPr>
  <dimension ref="A1"/>
  <sheetViews>
    <sheetView workbookViewId="0"/>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2DF8-9F7C-4B4C-8E92-BB11C1678307}">
  <sheetPr codeName="Sheet16"/>
  <dimension ref="A1:M104"/>
  <sheetViews>
    <sheetView zoomScale="85" zoomScaleNormal="85" workbookViewId="0">
      <selection activeCell="F23" sqref="F23"/>
    </sheetView>
  </sheetViews>
  <sheetFormatPr defaultColWidth="8.81640625" defaultRowHeight="13" x14ac:dyDescent="0.3"/>
  <cols>
    <col min="1" max="1" width="17.81640625" style="33" customWidth="1"/>
    <col min="2" max="2" width="22.26953125" style="33" bestFit="1" customWidth="1"/>
    <col min="3" max="3" width="12" style="33" customWidth="1"/>
    <col min="4" max="12" width="13.26953125" style="33" customWidth="1"/>
    <col min="13" max="13" width="8.81640625" style="33" customWidth="1"/>
    <col min="14" max="16384" width="8.81640625" style="33"/>
  </cols>
  <sheetData>
    <row r="1" spans="1:12" ht="21" x14ac:dyDescent="0.5">
      <c r="A1" s="100" t="s">
        <v>123</v>
      </c>
    </row>
    <row r="2" spans="1:12" ht="6" customHeight="1" x14ac:dyDescent="0.3"/>
    <row r="3" spans="1:12" ht="15.5" x14ac:dyDescent="0.35">
      <c r="A3" s="11" t="s">
        <v>178</v>
      </c>
    </row>
    <row r="4" spans="1:12" ht="9.75" customHeight="1" x14ac:dyDescent="0.35">
      <c r="A4" s="11"/>
    </row>
    <row r="5" spans="1:12" x14ac:dyDescent="0.3">
      <c r="A5" s="210"/>
      <c r="B5" s="249"/>
      <c r="C5" s="249"/>
      <c r="D5" s="79" t="s">
        <v>36</v>
      </c>
      <c r="E5" s="215" t="s">
        <v>37</v>
      </c>
      <c r="F5" s="215" t="s">
        <v>40</v>
      </c>
      <c r="G5" s="215" t="s">
        <v>39</v>
      </c>
      <c r="H5" s="215" t="s">
        <v>266</v>
      </c>
      <c r="I5" s="215" t="s">
        <v>267</v>
      </c>
      <c r="J5" s="215" t="s">
        <v>268</v>
      </c>
      <c r="K5" s="215" t="s">
        <v>269</v>
      </c>
      <c r="L5" s="215" t="s">
        <v>270</v>
      </c>
    </row>
    <row r="7" spans="1:12" x14ac:dyDescent="0.3">
      <c r="A7" s="205" t="s">
        <v>189</v>
      </c>
    </row>
    <row r="8" spans="1:12" ht="14.5" x14ac:dyDescent="0.35">
      <c r="A8" s="33" t="str">
        <f>'Parameters and Assumptions'!B52</f>
        <v>Year Start</v>
      </c>
      <c r="D8" s="382">
        <f>'Parameters and Assumptions'!D52</f>
        <v>4111323</v>
      </c>
      <c r="E8" s="382">
        <f>'Parameters and Assumptions'!E52</f>
        <v>4117508</v>
      </c>
      <c r="F8" s="382">
        <f>'Parameters and Assumptions'!F52</f>
        <v>4150997.5890000002</v>
      </c>
      <c r="G8" s="382">
        <f>'Parameters and Assumptions'!G52</f>
        <v>4181996.0441126823</v>
      </c>
      <c r="H8" s="382">
        <f>'Parameters and Assumptions'!H52</f>
        <v>4208698.2381485514</v>
      </c>
      <c r="I8" s="382">
        <f>'Parameters and Assumptions'!I52</f>
        <v>4233944.1611500941</v>
      </c>
      <c r="J8" s="382">
        <f>'Parameters and Assumptions'!J52</f>
        <v>4245471.2228427185</v>
      </c>
      <c r="K8" s="382">
        <f>'Parameters and Assumptions'!K52</f>
        <v>4255233.440346797</v>
      </c>
      <c r="L8" s="382">
        <f>'Parameters and Assumptions'!L52</f>
        <v>4265839.3062771531</v>
      </c>
    </row>
    <row r="9" spans="1:12" ht="14.5" x14ac:dyDescent="0.35">
      <c r="A9" s="196" t="str">
        <f>'Parameters and Assumptions'!B53</f>
        <v>Gross additions</v>
      </c>
      <c r="D9" s="383"/>
      <c r="E9" s="382">
        <f>'Parameters and Assumptions'!E53</f>
        <v>80603.808999999994</v>
      </c>
      <c r="F9" s="382">
        <f>'Parameters and Assumptions'!F53</f>
        <v>74491.90216206538</v>
      </c>
      <c r="G9" s="382">
        <f>'Parameters and Assumptions'!G53</f>
        <v>63334.248482687166</v>
      </c>
      <c r="H9" s="382">
        <f>'Parameters and Assumptions'!H53</f>
        <v>65665.512406790396</v>
      </c>
      <c r="I9" s="382">
        <f>'Parameters and Assumptions'!I53</f>
        <v>40627.800908839112</v>
      </c>
      <c r="J9" s="382">
        <f>'Parameters and Assumptions'!J53</f>
        <v>42991.244129153078</v>
      </c>
      <c r="K9" s="382">
        <f>'Parameters and Assumptions'!K53</f>
        <v>45955.894254904306</v>
      </c>
      <c r="L9" s="382">
        <f>'Parameters and Assumptions'!L53</f>
        <v>48149.465906527272</v>
      </c>
    </row>
    <row r="10" spans="1:12" s="196" customFormat="1" ht="14.5" x14ac:dyDescent="0.35">
      <c r="A10" s="196" t="str">
        <f>'Parameters and Assumptions'!B54</f>
        <v>Retirements (poles replaced)</v>
      </c>
      <c r="D10" s="383"/>
      <c r="E10" s="382">
        <f>'Parameters and Assumptions'!E54</f>
        <v>-47114.219999999994</v>
      </c>
      <c r="F10" s="382">
        <f>'Parameters and Assumptions'!F54</f>
        <v>-43493.447049383154</v>
      </c>
      <c r="G10" s="382">
        <f>'Parameters and Assumptions'!G54</f>
        <v>-36632.054446818343</v>
      </c>
      <c r="H10" s="382">
        <f>'Parameters and Assumptions'!H54</f>
        <v>-40419.589405247985</v>
      </c>
      <c r="I10" s="382">
        <f>'Parameters and Assumptions'!I54</f>
        <v>-29100.739216214912</v>
      </c>
      <c r="J10" s="382">
        <f>'Parameters and Assumptions'!J54</f>
        <v>-33229.026625074875</v>
      </c>
      <c r="K10" s="382">
        <f>'Parameters and Assumptions'!K54</f>
        <v>-35350.02832454774</v>
      </c>
      <c r="L10" s="382">
        <f>'Parameters and Assumptions'!L54</f>
        <v>-34289.527474811308</v>
      </c>
    </row>
    <row r="11" spans="1:12" ht="14.5" x14ac:dyDescent="0.35">
      <c r="A11" s="196" t="str">
        <f>'Parameters and Assumptions'!B55</f>
        <v>Year end</v>
      </c>
      <c r="D11" s="382">
        <f>'Parameters and Assumptions'!D55</f>
        <v>4117508</v>
      </c>
      <c r="E11" s="382">
        <f>'Parameters and Assumptions'!E55</f>
        <v>4150997.5890000002</v>
      </c>
      <c r="F11" s="382">
        <f>'Parameters and Assumptions'!F55</f>
        <v>4181996.0441126823</v>
      </c>
      <c r="G11" s="382">
        <f>'Parameters and Assumptions'!G55</f>
        <v>4208698.2381485514</v>
      </c>
      <c r="H11" s="382">
        <f>'Parameters and Assumptions'!H55</f>
        <v>4233944.1611500941</v>
      </c>
      <c r="I11" s="382">
        <f>'Parameters and Assumptions'!I55</f>
        <v>4245471.2228427185</v>
      </c>
      <c r="J11" s="382">
        <f>'Parameters and Assumptions'!J55</f>
        <v>4255233.440346797</v>
      </c>
      <c r="K11" s="382">
        <f>'Parameters and Assumptions'!K55</f>
        <v>4265839.3062771531</v>
      </c>
      <c r="L11" s="382">
        <f>'Parameters and Assumptions'!L55</f>
        <v>4279699.2447088687</v>
      </c>
    </row>
    <row r="13" spans="1:12" s="196" customFormat="1" x14ac:dyDescent="0.3"/>
    <row r="14" spans="1:12" ht="14.5" x14ac:dyDescent="0.35">
      <c r="A14" s="195" t="s">
        <v>77</v>
      </c>
      <c r="B14" s="195"/>
      <c r="C14" s="195"/>
      <c r="D14" s="92">
        <f>AVERAGE(D8,D11)</f>
        <v>4114415.5</v>
      </c>
      <c r="E14" s="92">
        <f t="shared" ref="E14:L14" si="0">AVERAGE(E8,E11)</f>
        <v>4134252.7944999998</v>
      </c>
      <c r="F14" s="92">
        <f t="shared" si="0"/>
        <v>4166496.816556341</v>
      </c>
      <c r="G14" s="92">
        <f t="shared" si="0"/>
        <v>4195347.1411306169</v>
      </c>
      <c r="H14" s="92">
        <f t="shared" si="0"/>
        <v>4221321.1996493228</v>
      </c>
      <c r="I14" s="92">
        <f t="shared" si="0"/>
        <v>4239707.6919964068</v>
      </c>
      <c r="J14" s="92">
        <f t="shared" si="0"/>
        <v>4250352.3315947577</v>
      </c>
      <c r="K14" s="92">
        <f t="shared" si="0"/>
        <v>4260536.373311975</v>
      </c>
      <c r="L14" s="92">
        <f t="shared" si="0"/>
        <v>4272769.2754930109</v>
      </c>
    </row>
    <row r="15" spans="1:12" s="196" customFormat="1" ht="14.5" x14ac:dyDescent="0.35">
      <c r="A15" s="195" t="s">
        <v>191</v>
      </c>
      <c r="B15" s="195"/>
      <c r="C15" s="195"/>
      <c r="D15" s="195"/>
      <c r="E15" s="187">
        <f>E14/D14-1</f>
        <v>4.8214125432883836E-3</v>
      </c>
      <c r="F15" s="187">
        <f t="shared" ref="F15:L15" si="1">F14/E14-1</f>
        <v>7.7992381354223816E-3</v>
      </c>
      <c r="G15" s="187">
        <f t="shared" si="1"/>
        <v>6.9243601626272078E-3</v>
      </c>
      <c r="H15" s="187">
        <f t="shared" si="1"/>
        <v>6.1911583582821006E-3</v>
      </c>
      <c r="I15" s="187">
        <f t="shared" si="1"/>
        <v>4.3556250466350033E-3</v>
      </c>
      <c r="J15" s="187">
        <f t="shared" si="1"/>
        <v>2.5107012963287989E-3</v>
      </c>
      <c r="K15" s="187">
        <f t="shared" si="1"/>
        <v>2.396046473962743E-3</v>
      </c>
      <c r="L15" s="187">
        <f t="shared" si="1"/>
        <v>2.8712117698754813E-3</v>
      </c>
    </row>
    <row r="16" spans="1:12" ht="8.15" customHeight="1" thickBot="1" x14ac:dyDescent="0.35">
      <c r="A16" s="98"/>
      <c r="B16" s="98"/>
      <c r="C16" s="98"/>
      <c r="D16" s="98"/>
      <c r="E16" s="98"/>
      <c r="F16" s="98"/>
      <c r="G16" s="98"/>
      <c r="H16" s="98"/>
      <c r="I16" s="98"/>
      <c r="J16" s="98"/>
      <c r="K16" s="98"/>
    </row>
    <row r="17" spans="1:12" ht="8.15" customHeight="1" x14ac:dyDescent="0.3"/>
    <row r="18" spans="1:12" ht="15.5" x14ac:dyDescent="0.35">
      <c r="A18" s="11" t="s">
        <v>179</v>
      </c>
    </row>
    <row r="20" spans="1:12" x14ac:dyDescent="0.3">
      <c r="A20" s="94"/>
      <c r="B20" s="94"/>
      <c r="C20" s="183" t="s">
        <v>124</v>
      </c>
      <c r="D20" s="196"/>
      <c r="F20" s="51"/>
      <c r="G20" s="51"/>
    </row>
    <row r="21" spans="1:12" ht="14.5" x14ac:dyDescent="0.3">
      <c r="A21" s="94" t="s">
        <v>16</v>
      </c>
      <c r="B21" s="94"/>
      <c r="C21" s="381">
        <f>'Input data'!E127</f>
        <v>0.25</v>
      </c>
      <c r="D21" s="196"/>
      <c r="F21" s="51"/>
      <c r="G21" s="51"/>
    </row>
    <row r="22" spans="1:12" ht="14.5" x14ac:dyDescent="0.3">
      <c r="A22" s="94" t="s">
        <v>17</v>
      </c>
      <c r="B22" s="94"/>
      <c r="C22" s="381">
        <f>'Input data'!E128</f>
        <v>0.1</v>
      </c>
      <c r="D22" s="196"/>
      <c r="F22" s="51"/>
      <c r="G22" s="51"/>
    </row>
    <row r="23" spans="1:12" ht="14.5" x14ac:dyDescent="0.3">
      <c r="A23" s="94" t="s">
        <v>18</v>
      </c>
      <c r="B23" s="94"/>
      <c r="C23" s="381">
        <f>'Input data'!E129</f>
        <v>0.35</v>
      </c>
      <c r="D23" s="196"/>
      <c r="F23" s="51"/>
      <c r="G23" s="51"/>
    </row>
    <row r="24" spans="1:12" ht="14.5" x14ac:dyDescent="0.3">
      <c r="A24" s="94" t="s">
        <v>19</v>
      </c>
      <c r="B24" s="94"/>
      <c r="C24" s="381">
        <f>'Input data'!E130</f>
        <v>0.15</v>
      </c>
      <c r="D24" s="196"/>
      <c r="F24" s="51"/>
      <c r="G24" s="51"/>
    </row>
    <row r="25" spans="1:12" ht="14.5" x14ac:dyDescent="0.3">
      <c r="A25" s="91" t="s">
        <v>20</v>
      </c>
      <c r="B25" s="94"/>
      <c r="C25" s="381">
        <f>'Input data'!E131</f>
        <v>0.15</v>
      </c>
      <c r="D25" s="196"/>
      <c r="F25" s="51"/>
      <c r="G25" s="51"/>
    </row>
    <row r="26" spans="1:12" x14ac:dyDescent="0.3">
      <c r="A26" s="94" t="s">
        <v>1</v>
      </c>
      <c r="B26" s="93"/>
      <c r="C26" s="132">
        <f>SUM(C21:C25)</f>
        <v>1</v>
      </c>
      <c r="D26" s="196"/>
      <c r="F26" s="51"/>
      <c r="G26" s="51"/>
    </row>
    <row r="27" spans="1:12" ht="14.5" x14ac:dyDescent="0.35">
      <c r="C27" s="352" t="b">
        <f>IF(ABS(C26-1)&lt;0.000001,TRUE,FALSE)</f>
        <v>1</v>
      </c>
      <c r="D27" s="196"/>
    </row>
    <row r="29" spans="1:12" x14ac:dyDescent="0.3">
      <c r="A29" s="80" t="s">
        <v>97</v>
      </c>
    </row>
    <row r="31" spans="1:12" x14ac:dyDescent="0.3">
      <c r="C31" s="196"/>
      <c r="D31" s="215" t="s">
        <v>36</v>
      </c>
      <c r="E31" s="215" t="s">
        <v>37</v>
      </c>
      <c r="F31" s="215" t="s">
        <v>40</v>
      </c>
      <c r="G31" s="215" t="s">
        <v>39</v>
      </c>
      <c r="H31" s="215" t="s">
        <v>266</v>
      </c>
      <c r="I31" s="215" t="s">
        <v>267</v>
      </c>
      <c r="J31" s="215" t="s">
        <v>268</v>
      </c>
      <c r="K31" s="215" t="s">
        <v>269</v>
      </c>
      <c r="L31" s="215" t="s">
        <v>270</v>
      </c>
    </row>
    <row r="32" spans="1:12" x14ac:dyDescent="0.3">
      <c r="A32" s="33" t="str">
        <f>A21</f>
        <v>DP poles - pure</v>
      </c>
      <c r="D32" s="92">
        <f>D$14 * $C21</f>
        <v>1028603.875</v>
      </c>
      <c r="E32" s="92">
        <f t="shared" ref="E32:L32" si="2">E$14 * $C21</f>
        <v>1033563.198625</v>
      </c>
      <c r="F32" s="92">
        <f t="shared" si="2"/>
        <v>1041624.2041390853</v>
      </c>
      <c r="G32" s="92">
        <f t="shared" si="2"/>
        <v>1048836.7852826542</v>
      </c>
      <c r="H32" s="92">
        <f t="shared" si="2"/>
        <v>1055330.2999123307</v>
      </c>
      <c r="I32" s="92">
        <f t="shared" si="2"/>
        <v>1059926.9229991017</v>
      </c>
      <c r="J32" s="92">
        <f t="shared" si="2"/>
        <v>1062588.0828986894</v>
      </c>
      <c r="K32" s="92">
        <f t="shared" si="2"/>
        <v>1065134.0933279938</v>
      </c>
      <c r="L32" s="92">
        <f t="shared" si="2"/>
        <v>1068192.3188732527</v>
      </c>
    </row>
    <row r="33" spans="1:12" x14ac:dyDescent="0.3">
      <c r="A33" s="33" t="str">
        <f>A22</f>
        <v>DP poles - mixed</v>
      </c>
      <c r="D33" s="92">
        <f t="shared" ref="D33:L36" si="3">D$14 * $C22</f>
        <v>411441.55000000005</v>
      </c>
      <c r="E33" s="92">
        <f t="shared" si="3"/>
        <v>413425.27945000003</v>
      </c>
      <c r="F33" s="92">
        <f t="shared" si="3"/>
        <v>416649.68165563414</v>
      </c>
      <c r="G33" s="92">
        <f t="shared" si="3"/>
        <v>419534.71411306172</v>
      </c>
      <c r="H33" s="92">
        <f t="shared" si="3"/>
        <v>422132.11996493232</v>
      </c>
      <c r="I33" s="92">
        <f t="shared" si="3"/>
        <v>423970.76919964072</v>
      </c>
      <c r="J33" s="92">
        <f t="shared" si="3"/>
        <v>425035.23315947579</v>
      </c>
      <c r="K33" s="92">
        <f t="shared" si="3"/>
        <v>426053.6373311975</v>
      </c>
      <c r="L33" s="92">
        <f t="shared" si="3"/>
        <v>427276.92754930112</v>
      </c>
    </row>
    <row r="34" spans="1:12" x14ac:dyDescent="0.3">
      <c r="A34" s="33" t="str">
        <f>A23</f>
        <v>Feeder poles - pure</v>
      </c>
      <c r="D34" s="92">
        <f t="shared" si="3"/>
        <v>1440045.4249999998</v>
      </c>
      <c r="E34" s="92">
        <f t="shared" si="3"/>
        <v>1446988.4780749998</v>
      </c>
      <c r="F34" s="92">
        <f t="shared" si="3"/>
        <v>1458273.8857947192</v>
      </c>
      <c r="G34" s="92">
        <f t="shared" si="3"/>
        <v>1468371.4993957158</v>
      </c>
      <c r="H34" s="92">
        <f t="shared" si="3"/>
        <v>1477462.4198772628</v>
      </c>
      <c r="I34" s="92">
        <f t="shared" si="3"/>
        <v>1483897.6921987422</v>
      </c>
      <c r="J34" s="92">
        <f t="shared" si="3"/>
        <v>1487623.3160581652</v>
      </c>
      <c r="K34" s="92">
        <f t="shared" si="3"/>
        <v>1491187.7306591913</v>
      </c>
      <c r="L34" s="92">
        <f t="shared" si="3"/>
        <v>1495469.2464225537</v>
      </c>
    </row>
    <row r="35" spans="1:12" x14ac:dyDescent="0.3">
      <c r="A35" s="33" t="str">
        <f>A24</f>
        <v>Feeder poles - mixed</v>
      </c>
      <c r="D35" s="92">
        <f t="shared" si="3"/>
        <v>617162.32499999995</v>
      </c>
      <c r="E35" s="92">
        <f t="shared" si="3"/>
        <v>620137.91917499993</v>
      </c>
      <c r="F35" s="92">
        <f t="shared" si="3"/>
        <v>624974.52248345118</v>
      </c>
      <c r="G35" s="92">
        <f t="shared" si="3"/>
        <v>629302.07116959256</v>
      </c>
      <c r="H35" s="92">
        <f t="shared" si="3"/>
        <v>633198.17994739837</v>
      </c>
      <c r="I35" s="92">
        <f t="shared" si="3"/>
        <v>635956.15379946097</v>
      </c>
      <c r="J35" s="92">
        <f t="shared" si="3"/>
        <v>637552.84973921359</v>
      </c>
      <c r="K35" s="92">
        <f t="shared" si="3"/>
        <v>639080.45599679626</v>
      </c>
      <c r="L35" s="92">
        <f t="shared" si="3"/>
        <v>640915.39132395166</v>
      </c>
    </row>
    <row r="36" spans="1:12" x14ac:dyDescent="0.3">
      <c r="A36" s="74" t="str">
        <f>A25</f>
        <v>Cable poles</v>
      </c>
      <c r="B36" s="74"/>
      <c r="C36" s="210"/>
      <c r="D36" s="92">
        <f t="shared" si="3"/>
        <v>617162.32499999995</v>
      </c>
      <c r="E36" s="92">
        <f t="shared" si="3"/>
        <v>620137.91917499993</v>
      </c>
      <c r="F36" s="92">
        <f t="shared" si="3"/>
        <v>624974.52248345118</v>
      </c>
      <c r="G36" s="92">
        <f t="shared" si="3"/>
        <v>629302.07116959256</v>
      </c>
      <c r="H36" s="92">
        <f t="shared" si="3"/>
        <v>633198.17994739837</v>
      </c>
      <c r="I36" s="92">
        <f t="shared" si="3"/>
        <v>635956.15379946097</v>
      </c>
      <c r="J36" s="92">
        <f t="shared" si="3"/>
        <v>637552.84973921359</v>
      </c>
      <c r="K36" s="92">
        <f t="shared" si="3"/>
        <v>639080.45599679626</v>
      </c>
      <c r="L36" s="92">
        <f t="shared" si="3"/>
        <v>640915.39132395166</v>
      </c>
    </row>
    <row r="37" spans="1:12" x14ac:dyDescent="0.3">
      <c r="A37" s="94" t="s">
        <v>1</v>
      </c>
      <c r="B37" s="94"/>
      <c r="D37" s="95">
        <f>SUM(D32:D36)</f>
        <v>4114415.5</v>
      </c>
      <c r="E37" s="95">
        <f t="shared" ref="E37:L37" si="4">SUM(E32:E36)</f>
        <v>4134252.7944999998</v>
      </c>
      <c r="F37" s="95">
        <f t="shared" si="4"/>
        <v>4166496.816556341</v>
      </c>
      <c r="G37" s="95">
        <f t="shared" si="4"/>
        <v>4195347.1411306169</v>
      </c>
      <c r="H37" s="95">
        <f t="shared" si="4"/>
        <v>4221321.1996493228</v>
      </c>
      <c r="I37" s="95">
        <f t="shared" si="4"/>
        <v>4239707.6919964068</v>
      </c>
      <c r="J37" s="95">
        <f t="shared" si="4"/>
        <v>4250352.3315947577</v>
      </c>
      <c r="K37" s="95">
        <f t="shared" si="4"/>
        <v>4260536.373311975</v>
      </c>
      <c r="L37" s="95">
        <f t="shared" si="4"/>
        <v>4272769.2754930109</v>
      </c>
    </row>
    <row r="38" spans="1:12" ht="14.5" x14ac:dyDescent="0.35">
      <c r="D38" s="352" t="b">
        <f t="shared" ref="D38:L38" si="5">ROUND(D37,0)=ROUND(D14,0)</f>
        <v>1</v>
      </c>
      <c r="E38" s="352" t="b">
        <f t="shared" si="5"/>
        <v>1</v>
      </c>
      <c r="F38" s="352" t="b">
        <f t="shared" si="5"/>
        <v>1</v>
      </c>
      <c r="G38" s="352" t="b">
        <f t="shared" si="5"/>
        <v>1</v>
      </c>
      <c r="H38" s="352" t="b">
        <f t="shared" si="5"/>
        <v>1</v>
      </c>
      <c r="I38" s="352" t="b">
        <f t="shared" si="5"/>
        <v>1</v>
      </c>
      <c r="J38" s="352" t="b">
        <f t="shared" si="5"/>
        <v>1</v>
      </c>
      <c r="K38" s="352" t="b">
        <f t="shared" si="5"/>
        <v>1</v>
      </c>
      <c r="L38" s="352" t="b">
        <f t="shared" si="5"/>
        <v>1</v>
      </c>
    </row>
    <row r="40" spans="1:12" x14ac:dyDescent="0.3">
      <c r="A40" s="121" t="s">
        <v>85</v>
      </c>
      <c r="B40" s="121"/>
      <c r="C40" s="136"/>
      <c r="D40" s="136">
        <f>D32+D33</f>
        <v>1440045.425</v>
      </c>
      <c r="E40" s="136">
        <f t="shared" ref="E40:L40" si="6">E32+E33</f>
        <v>1446988.478075</v>
      </c>
      <c r="F40" s="136">
        <f t="shared" si="6"/>
        <v>1458273.8857947194</v>
      </c>
      <c r="G40" s="136">
        <f t="shared" si="6"/>
        <v>1468371.499395716</v>
      </c>
      <c r="H40" s="136">
        <f t="shared" si="6"/>
        <v>1477462.419877263</v>
      </c>
      <c r="I40" s="136">
        <f t="shared" si="6"/>
        <v>1483897.6921987424</v>
      </c>
      <c r="J40" s="136">
        <f t="shared" si="6"/>
        <v>1487623.3160581652</v>
      </c>
      <c r="K40" s="136">
        <f t="shared" si="6"/>
        <v>1491187.7306591913</v>
      </c>
      <c r="L40" s="136">
        <f t="shared" si="6"/>
        <v>1495469.2464225539</v>
      </c>
    </row>
    <row r="41" spans="1:12" ht="8.15" customHeight="1" thickBot="1" x14ac:dyDescent="0.35">
      <c r="A41" s="98"/>
      <c r="B41" s="98"/>
      <c r="C41" s="98"/>
      <c r="D41" s="98"/>
      <c r="E41" s="98"/>
      <c r="F41" s="98"/>
      <c r="G41" s="98"/>
      <c r="H41" s="98"/>
      <c r="I41" s="98"/>
      <c r="J41" s="98"/>
      <c r="K41" s="98"/>
      <c r="L41" s="216"/>
    </row>
    <row r="42" spans="1:12" ht="8.15" customHeight="1" x14ac:dyDescent="0.3">
      <c r="E42" s="196"/>
      <c r="F42" s="196"/>
      <c r="G42" s="196"/>
      <c r="H42" s="196"/>
      <c r="I42" s="196"/>
      <c r="J42" s="196"/>
      <c r="K42" s="196"/>
      <c r="L42" s="196"/>
    </row>
    <row r="43" spans="1:12" ht="15.5" x14ac:dyDescent="0.35">
      <c r="A43" s="11" t="s">
        <v>180</v>
      </c>
    </row>
    <row r="44" spans="1:12" ht="8.15" customHeight="1" x14ac:dyDescent="0.3"/>
    <row r="45" spans="1:12" ht="14.5" x14ac:dyDescent="0.35">
      <c r="A45" s="33" t="str">
        <f>'Input data'!A155</f>
        <v>Ratio of manifolds to poles</v>
      </c>
      <c r="C45" s="342">
        <f>'Input data'!D155</f>
        <v>0.5</v>
      </c>
    </row>
    <row r="47" spans="1:12" x14ac:dyDescent="0.3">
      <c r="A47" s="33" t="s">
        <v>125</v>
      </c>
      <c r="D47" s="92">
        <f t="shared" ref="D47:L47" si="7">D14*$C$45</f>
        <v>2057207.75</v>
      </c>
      <c r="E47" s="92">
        <f t="shared" si="7"/>
        <v>2067126.3972499999</v>
      </c>
      <c r="F47" s="92">
        <f t="shared" si="7"/>
        <v>2083248.4082781705</v>
      </c>
      <c r="G47" s="92">
        <f t="shared" si="7"/>
        <v>2097673.5705653084</v>
      </c>
      <c r="H47" s="92">
        <f t="shared" si="7"/>
        <v>2110660.5998246614</v>
      </c>
      <c r="I47" s="92">
        <f t="shared" si="7"/>
        <v>2119853.8459982034</v>
      </c>
      <c r="J47" s="92">
        <f t="shared" si="7"/>
        <v>2125176.1657973789</v>
      </c>
      <c r="K47" s="92">
        <f t="shared" si="7"/>
        <v>2130268.1866559875</v>
      </c>
      <c r="L47" s="92">
        <f t="shared" si="7"/>
        <v>2136384.6377465054</v>
      </c>
    </row>
    <row r="49" spans="1:7" x14ac:dyDescent="0.3">
      <c r="A49" s="80" t="s">
        <v>327</v>
      </c>
    </row>
    <row r="50" spans="1:7" ht="7.15" customHeight="1" x14ac:dyDescent="0.3">
      <c r="A50" s="80"/>
    </row>
    <row r="51" spans="1:7" s="51" customFormat="1" ht="39" x14ac:dyDescent="0.35">
      <c r="A51" s="99" t="s">
        <v>96</v>
      </c>
      <c r="B51" s="99" t="s">
        <v>35</v>
      </c>
      <c r="D51" s="115" t="s">
        <v>174</v>
      </c>
      <c r="E51" s="115" t="s">
        <v>176</v>
      </c>
      <c r="G51" s="115" t="s">
        <v>278</v>
      </c>
    </row>
    <row r="52" spans="1:7" x14ac:dyDescent="0.3">
      <c r="A52" s="33" t="str">
        <f>'Input data'!A138</f>
        <v>DP poles - pure</v>
      </c>
      <c r="B52" s="33" t="str">
        <f>'Input data'!F138</f>
        <v>Single Premise attachments</v>
      </c>
      <c r="D52" s="49">
        <f>'Input data'!D138</f>
        <v>9370082</v>
      </c>
      <c r="E52" s="35">
        <f>$D$11</f>
        <v>4117508</v>
      </c>
      <c r="F52" s="196"/>
      <c r="G52" s="49">
        <f>D52*$D$14/E52</f>
        <v>9363044.4961056542</v>
      </c>
    </row>
    <row r="53" spans="1:7" x14ac:dyDescent="0.3">
      <c r="B53" s="33" t="str">
        <f>'Input data'!F139</f>
        <v>Multi premise attachments</v>
      </c>
      <c r="D53" s="49">
        <f>'Input data'!D139</f>
        <v>0</v>
      </c>
      <c r="E53" s="212">
        <f>$D$11</f>
        <v>4117508</v>
      </c>
      <c r="F53" s="196"/>
      <c r="G53" s="49">
        <f>D53*$D$14/E53</f>
        <v>0</v>
      </c>
    </row>
    <row r="54" spans="1:7" x14ac:dyDescent="0.3">
      <c r="D54" s="49"/>
      <c r="F54" s="196"/>
    </row>
    <row r="55" spans="1:7" x14ac:dyDescent="0.3">
      <c r="A55" s="33" t="str">
        <f>'Input data'!A141</f>
        <v>DP poles - mixed</v>
      </c>
      <c r="B55" s="33" t="str">
        <f>'Input data'!F141</f>
        <v>Single Premise attachments</v>
      </c>
      <c r="D55" s="49">
        <f>'Input data'!D141</f>
        <v>2835708</v>
      </c>
      <c r="E55" s="212">
        <f>$D$11</f>
        <v>4117508</v>
      </c>
      <c r="F55" s="196"/>
      <c r="G55" s="49">
        <f>D55*$D$14/E55</f>
        <v>2833578.2100906665</v>
      </c>
    </row>
    <row r="56" spans="1:7" x14ac:dyDescent="0.3">
      <c r="B56" s="33" t="str">
        <f>'Input data'!F142</f>
        <v>Multi premise attachments</v>
      </c>
      <c r="D56" s="49">
        <f>'Input data'!D142</f>
        <v>548432</v>
      </c>
      <c r="E56" s="212">
        <f>$D$11</f>
        <v>4117508</v>
      </c>
      <c r="F56" s="196"/>
      <c r="G56" s="49">
        <f>D56*$D$14/E56</f>
        <v>548020.09407049115</v>
      </c>
    </row>
    <row r="57" spans="1:7" x14ac:dyDescent="0.3">
      <c r="D57" s="49"/>
      <c r="F57" s="196"/>
    </row>
    <row r="58" spans="1:7" x14ac:dyDescent="0.3">
      <c r="A58" s="33" t="str">
        <f>'Input data'!A144</f>
        <v>Feeder poles - pure</v>
      </c>
      <c r="B58" s="33" t="str">
        <f>'Input data'!F144</f>
        <v>Single Premise attachments</v>
      </c>
      <c r="D58" s="49">
        <f>'Input data'!D144</f>
        <v>3326527</v>
      </c>
      <c r="E58" s="212">
        <f>$D$11</f>
        <v>4117508</v>
      </c>
      <c r="F58" s="196"/>
      <c r="G58" s="49">
        <f>D58*$D$14/E58</f>
        <v>3324028.5750430841</v>
      </c>
    </row>
    <row r="59" spans="1:7" x14ac:dyDescent="0.3">
      <c r="B59" s="33" t="str">
        <f>'Input data'!F145</f>
        <v>Multi premise attachments</v>
      </c>
      <c r="D59" s="49">
        <f>'Input data'!D145</f>
        <v>0</v>
      </c>
      <c r="E59" s="212">
        <f>$D$11</f>
        <v>4117508</v>
      </c>
      <c r="F59" s="196"/>
      <c r="G59" s="49">
        <f>D59*$D$14/E59</f>
        <v>0</v>
      </c>
    </row>
    <row r="60" spans="1:7" x14ac:dyDescent="0.3">
      <c r="D60" s="49"/>
      <c r="F60" s="196"/>
    </row>
    <row r="61" spans="1:7" x14ac:dyDescent="0.3">
      <c r="A61" s="33" t="str">
        <f>'Input data'!A147</f>
        <v>Feeder poles - mixed</v>
      </c>
      <c r="B61" s="33" t="str">
        <f>'Input data'!F147</f>
        <v>Single Premise attachments</v>
      </c>
      <c r="D61" s="49">
        <f>'Input data'!D147</f>
        <v>1510570</v>
      </c>
      <c r="E61" s="212">
        <f>$D$11</f>
        <v>4117508</v>
      </c>
      <c r="F61" s="196"/>
      <c r="G61" s="49">
        <f>D61*$D$14/E61</f>
        <v>1509435.4696663613</v>
      </c>
    </row>
    <row r="62" spans="1:7" x14ac:dyDescent="0.3">
      <c r="B62" s="33" t="str">
        <f>'Input data'!F148</f>
        <v>Multi premise attachments</v>
      </c>
      <c r="D62" s="49">
        <f>'Input data'!D148</f>
        <v>796651</v>
      </c>
      <c r="E62" s="212">
        <f>$D$11</f>
        <v>4117508</v>
      </c>
      <c r="F62" s="196"/>
      <c r="G62" s="49">
        <f>D62*$D$14/E62</f>
        <v>796052.66644059948</v>
      </c>
    </row>
    <row r="63" spans="1:7" x14ac:dyDescent="0.3">
      <c r="D63" s="49"/>
      <c r="F63" s="196"/>
    </row>
    <row r="64" spans="1:7" x14ac:dyDescent="0.3">
      <c r="A64" s="33" t="str">
        <f>'Input data'!A150</f>
        <v>Cable poles</v>
      </c>
      <c r="B64" s="33" t="str">
        <f>'Input data'!F150</f>
        <v>Single Premise attachments</v>
      </c>
      <c r="D64" s="49">
        <f>'Input data'!D150</f>
        <v>0</v>
      </c>
      <c r="E64" s="212">
        <f>$D$11</f>
        <v>4117508</v>
      </c>
      <c r="F64" s="196"/>
      <c r="G64" s="49">
        <f>D64*$D$14/E64</f>
        <v>0</v>
      </c>
    </row>
    <row r="65" spans="1:12" x14ac:dyDescent="0.3">
      <c r="B65" s="33" t="str">
        <f>'Input data'!F151</f>
        <v>Multi premise attachments</v>
      </c>
      <c r="D65" s="49">
        <f>'Input data'!D151</f>
        <v>1236485</v>
      </c>
      <c r="E65" s="212">
        <f>$D$11</f>
        <v>4117508</v>
      </c>
      <c r="F65" s="196"/>
      <c r="G65" s="49">
        <f>D65*$D$14/E65</f>
        <v>1235556.3242421143</v>
      </c>
    </row>
    <row r="66" spans="1:12" x14ac:dyDescent="0.3">
      <c r="F66" s="196"/>
      <c r="G66" s="196"/>
    </row>
    <row r="67" spans="1:12" x14ac:dyDescent="0.3">
      <c r="A67" s="80" t="s">
        <v>181</v>
      </c>
      <c r="F67" s="49"/>
    </row>
    <row r="68" spans="1:12" ht="7.5" customHeight="1" x14ac:dyDescent="0.3">
      <c r="C68" s="196"/>
    </row>
    <row r="69" spans="1:12" x14ac:dyDescent="0.3">
      <c r="C69" s="196"/>
      <c r="D69" s="215" t="s">
        <v>36</v>
      </c>
      <c r="E69" s="215" t="s">
        <v>37</v>
      </c>
      <c r="F69" s="215" t="s">
        <v>40</v>
      </c>
      <c r="G69" s="215" t="s">
        <v>39</v>
      </c>
      <c r="H69" s="215" t="s">
        <v>266</v>
      </c>
      <c r="I69" s="215" t="s">
        <v>267</v>
      </c>
      <c r="J69" s="215" t="s">
        <v>268</v>
      </c>
      <c r="K69" s="215" t="s">
        <v>269</v>
      </c>
      <c r="L69" s="215" t="s">
        <v>270</v>
      </c>
    </row>
    <row r="70" spans="1:12" x14ac:dyDescent="0.3">
      <c r="A70" s="33" t="str">
        <f>A52</f>
        <v>DP poles - pure</v>
      </c>
      <c r="B70" s="33" t="s">
        <v>86</v>
      </c>
      <c r="C70" s="196"/>
      <c r="D70" s="35">
        <f>G52</f>
        <v>9363044.4961056542</v>
      </c>
      <c r="E70" s="35">
        <f>D70*E$14/D$14</f>
        <v>9408187.5962825436</v>
      </c>
      <c r="F70" s="35">
        <f t="shared" ref="F70:J71" si="8">E70*F$14/E$14</f>
        <v>9481564.2917686775</v>
      </c>
      <c r="G70" s="35">
        <f t="shared" si="8"/>
        <v>9547218.057829991</v>
      </c>
      <c r="H70" s="35">
        <f t="shared" si="8"/>
        <v>9606326.3967070673</v>
      </c>
      <c r="I70" s="35">
        <f t="shared" si="8"/>
        <v>9648167.952566715</v>
      </c>
      <c r="J70" s="35">
        <f t="shared" si="8"/>
        <v>9672391.6203524228</v>
      </c>
      <c r="K70" s="212">
        <f t="shared" ref="K70:K71" si="9">J70*K$14/J$14</f>
        <v>9695567.1201891564</v>
      </c>
      <c r="L70" s="212">
        <f t="shared" ref="L70:L71" si="10">K70*L$14/K$14</f>
        <v>9723405.1466202606</v>
      </c>
    </row>
    <row r="71" spans="1:12" x14ac:dyDescent="0.3">
      <c r="B71" s="33" t="s">
        <v>87</v>
      </c>
      <c r="C71" s="196"/>
      <c r="D71" s="35">
        <f>G53</f>
        <v>0</v>
      </c>
      <c r="E71" s="212">
        <f>D71*E$14/D$14</f>
        <v>0</v>
      </c>
      <c r="F71" s="35">
        <f t="shared" si="8"/>
        <v>0</v>
      </c>
      <c r="G71" s="35">
        <f t="shared" si="8"/>
        <v>0</v>
      </c>
      <c r="H71" s="35">
        <f t="shared" si="8"/>
        <v>0</v>
      </c>
      <c r="I71" s="35">
        <f t="shared" si="8"/>
        <v>0</v>
      </c>
      <c r="J71" s="35">
        <f t="shared" si="8"/>
        <v>0</v>
      </c>
      <c r="K71" s="212">
        <f t="shared" si="9"/>
        <v>0</v>
      </c>
      <c r="L71" s="212">
        <f t="shared" si="10"/>
        <v>0</v>
      </c>
    </row>
    <row r="72" spans="1:12" x14ac:dyDescent="0.3">
      <c r="D72" s="35"/>
      <c r="K72" s="196"/>
      <c r="L72" s="196"/>
    </row>
    <row r="73" spans="1:12" x14ac:dyDescent="0.3">
      <c r="A73" s="33" t="str">
        <f>A55</f>
        <v>DP poles - mixed</v>
      </c>
      <c r="B73" s="33" t="str">
        <f>B70</f>
        <v>Single</v>
      </c>
      <c r="D73" s="35">
        <f>G55</f>
        <v>2833578.2100906665</v>
      </c>
      <c r="E73" s="212">
        <f>D73*E$14/D$14</f>
        <v>2847240.0596151864</v>
      </c>
      <c r="F73" s="35">
        <f t="shared" ref="F73:J73" si="11">E73*F$14/E$14</f>
        <v>2869446.3628688399</v>
      </c>
      <c r="G73" s="35">
        <f t="shared" si="11"/>
        <v>2889315.4429526841</v>
      </c>
      <c r="H73" s="35">
        <f t="shared" si="11"/>
        <v>2907203.6524070343</v>
      </c>
      <c r="I73" s="35">
        <f t="shared" si="11"/>
        <v>2919866.3414511275</v>
      </c>
      <c r="J73" s="35">
        <f t="shared" si="11"/>
        <v>2927197.2536597163</v>
      </c>
      <c r="K73" s="212">
        <f t="shared" ref="K73:K74" si="12">J73*K$14/J$14</f>
        <v>2934210.9543179413</v>
      </c>
      <c r="L73" s="212">
        <f t="shared" ref="L73:L74" si="13">K73*L$14/K$14</f>
        <v>2942635.6953452765</v>
      </c>
    </row>
    <row r="74" spans="1:12" x14ac:dyDescent="0.3">
      <c r="B74" s="33" t="str">
        <f>B71</f>
        <v>Multi</v>
      </c>
      <c r="D74" s="35">
        <f>G56</f>
        <v>548020.09407049115</v>
      </c>
      <c r="E74" s="212">
        <f>D74*E$14/D$14</f>
        <v>550662.32502601668</v>
      </c>
      <c r="F74" s="35">
        <f t="shared" ref="F74:J74" si="14">E74*F$14/E$14</f>
        <v>554957.07163109991</v>
      </c>
      <c r="G74" s="35">
        <f t="shared" si="14"/>
        <v>558799.7942698705</v>
      </c>
      <c r="H74" s="35">
        <f t="shared" si="14"/>
        <v>562259.41228677076</v>
      </c>
      <c r="I74" s="35">
        <f t="shared" si="14"/>
        <v>564708.40346563328</v>
      </c>
      <c r="J74" s="35">
        <f t="shared" si="14"/>
        <v>566126.21758626227</v>
      </c>
      <c r="K74" s="212">
        <f t="shared" si="12"/>
        <v>567482.68231372768</v>
      </c>
      <c r="L74" s="212">
        <f t="shared" si="13"/>
        <v>569112.04527038732</v>
      </c>
    </row>
    <row r="75" spans="1:12" x14ac:dyDescent="0.3">
      <c r="D75" s="35"/>
      <c r="K75" s="196"/>
      <c r="L75" s="196"/>
    </row>
    <row r="76" spans="1:12" x14ac:dyDescent="0.3">
      <c r="A76" s="33" t="str">
        <f>A58</f>
        <v>Feeder poles - pure</v>
      </c>
      <c r="B76" s="33" t="str">
        <f>B73</f>
        <v>Single</v>
      </c>
      <c r="D76" s="35">
        <f>G58</f>
        <v>3324028.5750430841</v>
      </c>
      <c r="E76" s="212">
        <f>D76*E$14/D$14</f>
        <v>3340055.0881090458</v>
      </c>
      <c r="F76" s="35">
        <f t="shared" ref="F76:J76" si="15">E76*F$14/E$14</f>
        <v>3366104.9731266377</v>
      </c>
      <c r="G76" s="35">
        <f t="shared" si="15"/>
        <v>3389413.0963057773</v>
      </c>
      <c r="H76" s="35">
        <f t="shared" si="15"/>
        <v>3410397.4895266416</v>
      </c>
      <c r="I76" s="35">
        <f t="shared" si="15"/>
        <v>3425251.9022510052</v>
      </c>
      <c r="J76" s="35">
        <f t="shared" si="15"/>
        <v>3433851.6866422398</v>
      </c>
      <c r="K76" s="212">
        <f t="shared" ref="K76:K77" si="16">J76*K$14/J$14</f>
        <v>3442079.3548681303</v>
      </c>
      <c r="L76" s="212">
        <f t="shared" ref="L76:L77" si="17">K76*L$14/K$14</f>
        <v>3451962.293624673</v>
      </c>
    </row>
    <row r="77" spans="1:12" x14ac:dyDescent="0.3">
      <c r="B77" s="33" t="str">
        <f>B74</f>
        <v>Multi</v>
      </c>
      <c r="D77" s="35">
        <f>G59</f>
        <v>0</v>
      </c>
      <c r="E77" s="212">
        <f>D77*E$14/D$14</f>
        <v>0</v>
      </c>
      <c r="F77" s="35">
        <f t="shared" ref="F77:J77" si="18">E77*F$14/E$14</f>
        <v>0</v>
      </c>
      <c r="G77" s="35">
        <f t="shared" si="18"/>
        <v>0</v>
      </c>
      <c r="H77" s="35">
        <f t="shared" si="18"/>
        <v>0</v>
      </c>
      <c r="I77" s="35">
        <f t="shared" si="18"/>
        <v>0</v>
      </c>
      <c r="J77" s="35">
        <f t="shared" si="18"/>
        <v>0</v>
      </c>
      <c r="K77" s="212">
        <f t="shared" si="16"/>
        <v>0</v>
      </c>
      <c r="L77" s="212">
        <f t="shared" si="17"/>
        <v>0</v>
      </c>
    </row>
    <row r="78" spans="1:12" x14ac:dyDescent="0.3">
      <c r="D78" s="35"/>
      <c r="K78" s="196"/>
      <c r="L78" s="196"/>
    </row>
    <row r="79" spans="1:12" x14ac:dyDescent="0.3">
      <c r="A79" s="33" t="str">
        <f>A61</f>
        <v>Feeder poles - mixed</v>
      </c>
      <c r="B79" s="33" t="str">
        <f>B76</f>
        <v>Single</v>
      </c>
      <c r="D79" s="35">
        <f>G61</f>
        <v>1509435.4696663613</v>
      </c>
      <c r="E79" s="212">
        <f>D79*E$14/D$14</f>
        <v>1516713.0807730951</v>
      </c>
      <c r="F79" s="35">
        <f t="shared" ref="F79:J79" si="19">E79*F$14/E$14</f>
        <v>1528542.2872731546</v>
      </c>
      <c r="G79" s="35">
        <f t="shared" si="19"/>
        <v>1539126.4645940401</v>
      </c>
      <c r="H79" s="35">
        <f t="shared" si="19"/>
        <v>1548655.4402697645</v>
      </c>
      <c r="I79" s="35">
        <f t="shared" si="19"/>
        <v>1555400.8026940112</v>
      </c>
      <c r="J79" s="35">
        <f t="shared" si="19"/>
        <v>1559305.9495056462</v>
      </c>
      <c r="K79" s="212">
        <f t="shared" ref="K79:K80" si="20">J79*K$14/J$14</f>
        <v>1563042.1190277885</v>
      </c>
      <c r="L79" s="212">
        <f t="shared" ref="L79:L80" si="21">K79*L$14/K$14</f>
        <v>1567529.9439567523</v>
      </c>
    </row>
    <row r="80" spans="1:12" x14ac:dyDescent="0.3">
      <c r="B80" s="33" t="str">
        <f>B77</f>
        <v>Multi</v>
      </c>
      <c r="D80" s="35">
        <f>G62</f>
        <v>796052.66644059948</v>
      </c>
      <c r="E80" s="212">
        <f>D80*E$14/D$14</f>
        <v>799890.76475169428</v>
      </c>
      <c r="F80" s="35">
        <f t="shared" ref="F80:J80" si="22">E80*F$14/E$14</f>
        <v>806129.3033083179</v>
      </c>
      <c r="G80" s="35">
        <f t="shared" si="22"/>
        <v>811711.23294207244</v>
      </c>
      <c r="H80" s="35">
        <f t="shared" si="22"/>
        <v>816736.66572641325</v>
      </c>
      <c r="I80" s="35">
        <f t="shared" si="22"/>
        <v>820294.06440415641</v>
      </c>
      <c r="J80" s="35">
        <f t="shared" si="22"/>
        <v>822353.57777502679</v>
      </c>
      <c r="K80" s="212">
        <f t="shared" si="20"/>
        <v>824323.97516540531</v>
      </c>
      <c r="L80" s="212">
        <f t="shared" si="21"/>
        <v>826690.78386509069</v>
      </c>
    </row>
    <row r="81" spans="1:13" x14ac:dyDescent="0.3">
      <c r="K81" s="196"/>
      <c r="L81" s="196"/>
    </row>
    <row r="82" spans="1:13" x14ac:dyDescent="0.3">
      <c r="A82" s="33" t="str">
        <f>A64</f>
        <v>Cable poles</v>
      </c>
      <c r="B82" s="33" t="str">
        <f>B79</f>
        <v>Single</v>
      </c>
      <c r="D82" s="35">
        <f>G64</f>
        <v>0</v>
      </c>
      <c r="E82" s="212">
        <f>D82*E$14/D$14</f>
        <v>0</v>
      </c>
      <c r="F82" s="35">
        <f t="shared" ref="F82:J82" si="23">E82*F$14/E$14</f>
        <v>0</v>
      </c>
      <c r="G82" s="35">
        <f t="shared" si="23"/>
        <v>0</v>
      </c>
      <c r="H82" s="35">
        <f t="shared" si="23"/>
        <v>0</v>
      </c>
      <c r="I82" s="35">
        <f t="shared" si="23"/>
        <v>0</v>
      </c>
      <c r="J82" s="35">
        <f t="shared" si="23"/>
        <v>0</v>
      </c>
      <c r="K82" s="212">
        <f t="shared" ref="K82:K83" si="24">J82*K$14/J$14</f>
        <v>0</v>
      </c>
      <c r="L82" s="212">
        <f t="shared" ref="L82:L83" si="25">K82*L$14/K$14</f>
        <v>0</v>
      </c>
    </row>
    <row r="83" spans="1:13" x14ac:dyDescent="0.3">
      <c r="B83" s="33" t="str">
        <f>B80</f>
        <v>Multi</v>
      </c>
      <c r="D83" s="35">
        <f>G65</f>
        <v>1235556.3242421143</v>
      </c>
      <c r="E83" s="212">
        <f>D83*E$14/D$14</f>
        <v>1241513.4510017545</v>
      </c>
      <c r="F83" s="35">
        <f t="shared" ref="F83:J83" si="26">E83*F$14/E$14</f>
        <v>1251196.3100544473</v>
      </c>
      <c r="G83" s="35">
        <f t="shared" si="26"/>
        <v>1259860.0439394144</v>
      </c>
      <c r="H83" s="35">
        <f t="shared" si="26"/>
        <v>1267660.0369807156</v>
      </c>
      <c r="I83" s="35">
        <f t="shared" si="26"/>
        <v>1273181.4887884071</v>
      </c>
      <c r="J83" s="35">
        <f t="shared" si="26"/>
        <v>1276378.0672027702</v>
      </c>
      <c r="K83" s="212">
        <f t="shared" si="24"/>
        <v>1279436.3283701348</v>
      </c>
      <c r="L83" s="212">
        <f t="shared" si="25"/>
        <v>1283109.8610149573</v>
      </c>
    </row>
    <row r="84" spans="1:13" x14ac:dyDescent="0.3">
      <c r="K84" s="196"/>
      <c r="L84" s="196"/>
    </row>
    <row r="85" spans="1:13" x14ac:dyDescent="0.3">
      <c r="A85" s="121" t="s">
        <v>93</v>
      </c>
      <c r="B85" s="121" t="str">
        <f>B82</f>
        <v>Single</v>
      </c>
      <c r="D85" s="135">
        <f>SUMIF($B$70:$B$83,$B85,D$70:D$83)</f>
        <v>17030086.750905767</v>
      </c>
      <c r="E85" s="135">
        <f t="shared" ref="E85:L86" si="27">SUMIF($B$70:$B$83,$B85,E$70:E$83)</f>
        <v>17112195.824779872</v>
      </c>
      <c r="F85" s="135">
        <f t="shared" si="27"/>
        <v>17245657.915037308</v>
      </c>
      <c r="G85" s="135">
        <f t="shared" si="27"/>
        <v>17365073.061682492</v>
      </c>
      <c r="H85" s="135">
        <f t="shared" si="27"/>
        <v>17472582.978910506</v>
      </c>
      <c r="I85" s="135">
        <f t="shared" si="27"/>
        <v>17548686.998962857</v>
      </c>
      <c r="J85" s="135">
        <f t="shared" si="27"/>
        <v>17592746.510160025</v>
      </c>
      <c r="K85" s="135">
        <f t="shared" si="27"/>
        <v>17634899.548403017</v>
      </c>
      <c r="L85" s="135">
        <f t="shared" si="27"/>
        <v>17685533.079546962</v>
      </c>
    </row>
    <row r="86" spans="1:13" x14ac:dyDescent="0.3">
      <c r="A86" s="121"/>
      <c r="B86" s="121" t="str">
        <f>B83</f>
        <v>Multi</v>
      </c>
      <c r="D86" s="135">
        <f>SUMIF($B$70:$B$83,$B86,D$70:D$83)</f>
        <v>2579629.0847532051</v>
      </c>
      <c r="E86" s="135">
        <f t="shared" si="27"/>
        <v>2592066.5407794653</v>
      </c>
      <c r="F86" s="135">
        <f t="shared" si="27"/>
        <v>2612282.684993865</v>
      </c>
      <c r="G86" s="135">
        <f t="shared" si="27"/>
        <v>2630371.0711513571</v>
      </c>
      <c r="H86" s="135">
        <f t="shared" si="27"/>
        <v>2646656.1149938996</v>
      </c>
      <c r="I86" s="135">
        <f t="shared" si="27"/>
        <v>2658183.9566581966</v>
      </c>
      <c r="J86" s="135">
        <f t="shared" si="27"/>
        <v>2664857.862564059</v>
      </c>
      <c r="K86" s="135">
        <f t="shared" si="27"/>
        <v>2671242.9858492678</v>
      </c>
      <c r="L86" s="135">
        <f t="shared" si="27"/>
        <v>2678912.6901504351</v>
      </c>
      <c r="M86" s="212"/>
    </row>
    <row r="87" spans="1:13" x14ac:dyDescent="0.3">
      <c r="K87" s="196"/>
      <c r="L87" s="196"/>
    </row>
    <row r="88" spans="1:13" x14ac:dyDescent="0.3">
      <c r="A88" s="33" t="s">
        <v>95</v>
      </c>
      <c r="B88" s="33" t="str">
        <f>B82</f>
        <v>Single</v>
      </c>
      <c r="K88" s="196"/>
      <c r="L88" s="196"/>
    </row>
    <row r="89" spans="1:13" x14ac:dyDescent="0.3">
      <c r="A89" s="33" t="s">
        <v>90</v>
      </c>
      <c r="B89" s="33" t="str">
        <f>B88</f>
        <v>Single</v>
      </c>
      <c r="D89" s="35">
        <f>D70+D76</f>
        <v>12687073.071148738</v>
      </c>
      <c r="E89" s="35">
        <f t="shared" ref="E89:J89" si="28">E70+E76</f>
        <v>12748242.68439159</v>
      </c>
      <c r="F89" s="35">
        <f t="shared" si="28"/>
        <v>12847669.264895316</v>
      </c>
      <c r="G89" s="35">
        <f t="shared" si="28"/>
        <v>12936631.154135767</v>
      </c>
      <c r="H89" s="35">
        <f t="shared" si="28"/>
        <v>13016723.88623371</v>
      </c>
      <c r="I89" s="35">
        <f t="shared" si="28"/>
        <v>13073419.85481772</v>
      </c>
      <c r="J89" s="35">
        <f t="shared" si="28"/>
        <v>13106243.306994662</v>
      </c>
      <c r="K89" s="212">
        <f t="shared" ref="K89:L89" si="29">K70+K76</f>
        <v>13137646.475057287</v>
      </c>
      <c r="L89" s="212">
        <f t="shared" si="29"/>
        <v>13175367.440244934</v>
      </c>
    </row>
    <row r="90" spans="1:13" x14ac:dyDescent="0.3">
      <c r="A90" s="33" t="s">
        <v>88</v>
      </c>
      <c r="B90" s="33" t="str">
        <f t="shared" ref="B90:B91" si="30">B89</f>
        <v>Single</v>
      </c>
      <c r="D90" s="92">
        <f t="shared" ref="D90:J90" si="31">D32+D34</f>
        <v>2468649.2999999998</v>
      </c>
      <c r="E90" s="92">
        <f t="shared" si="31"/>
        <v>2480551.6766999997</v>
      </c>
      <c r="F90" s="92">
        <f t="shared" si="31"/>
        <v>2499898.0899338042</v>
      </c>
      <c r="G90" s="92">
        <f t="shared" si="31"/>
        <v>2517208.2846783698</v>
      </c>
      <c r="H90" s="92">
        <f t="shared" si="31"/>
        <v>2532792.7197895935</v>
      </c>
      <c r="I90" s="92">
        <f t="shared" si="31"/>
        <v>2543824.6151978439</v>
      </c>
      <c r="J90" s="92">
        <f t="shared" si="31"/>
        <v>2550211.3989568548</v>
      </c>
      <c r="K90" s="92">
        <f t="shared" ref="K90:L90" si="32">K32+K34</f>
        <v>2556321.823987185</v>
      </c>
      <c r="L90" s="92">
        <f t="shared" si="32"/>
        <v>2563661.5652958062</v>
      </c>
    </row>
    <row r="91" spans="1:13" x14ac:dyDescent="0.3">
      <c r="A91" s="121" t="s">
        <v>89</v>
      </c>
      <c r="B91" s="121" t="str">
        <f t="shared" si="30"/>
        <v>Single</v>
      </c>
      <c r="D91" s="134">
        <f>D89/D90</f>
        <v>5.1392772035901331</v>
      </c>
      <c r="E91" s="134">
        <f t="shared" ref="E91:J91" si="33">E89/E90</f>
        <v>5.1392772035901331</v>
      </c>
      <c r="F91" s="134">
        <f t="shared" si="33"/>
        <v>5.1392772035901331</v>
      </c>
      <c r="G91" s="134">
        <f t="shared" si="33"/>
        <v>5.1392772035901331</v>
      </c>
      <c r="H91" s="134">
        <f t="shared" si="33"/>
        <v>5.1392772035901331</v>
      </c>
      <c r="I91" s="134">
        <f t="shared" si="33"/>
        <v>5.1392772035901322</v>
      </c>
      <c r="J91" s="134">
        <f t="shared" si="33"/>
        <v>5.1392772035901313</v>
      </c>
      <c r="K91" s="134">
        <f t="shared" ref="K91:L91" si="34">K89/K90</f>
        <v>5.1392772035901322</v>
      </c>
      <c r="L91" s="134">
        <f t="shared" si="34"/>
        <v>5.1392772035901331</v>
      </c>
    </row>
    <row r="92" spans="1:13" x14ac:dyDescent="0.3">
      <c r="K92" s="196"/>
      <c r="L92" s="196"/>
    </row>
    <row r="93" spans="1:13" x14ac:dyDescent="0.3">
      <c r="A93" s="33" t="s">
        <v>95</v>
      </c>
      <c r="B93" s="33" t="str">
        <f>B83</f>
        <v>Multi</v>
      </c>
      <c r="K93" s="196"/>
      <c r="L93" s="196"/>
    </row>
    <row r="94" spans="1:13" x14ac:dyDescent="0.3">
      <c r="A94" s="33" t="s">
        <v>92</v>
      </c>
      <c r="B94" s="33" t="str">
        <f>B93</f>
        <v>Multi</v>
      </c>
      <c r="D94" s="35">
        <f>D83</f>
        <v>1235556.3242421143</v>
      </c>
      <c r="E94" s="35">
        <f t="shared" ref="E94:J94" si="35">E83</f>
        <v>1241513.4510017545</v>
      </c>
      <c r="F94" s="35">
        <f t="shared" si="35"/>
        <v>1251196.3100544473</v>
      </c>
      <c r="G94" s="35">
        <f t="shared" si="35"/>
        <v>1259860.0439394144</v>
      </c>
      <c r="H94" s="35">
        <f t="shared" si="35"/>
        <v>1267660.0369807156</v>
      </c>
      <c r="I94" s="35">
        <f t="shared" si="35"/>
        <v>1273181.4887884071</v>
      </c>
      <c r="J94" s="35">
        <f t="shared" si="35"/>
        <v>1276378.0672027702</v>
      </c>
      <c r="K94" s="212">
        <f t="shared" ref="K94:L94" si="36">K83</f>
        <v>1279436.3283701348</v>
      </c>
      <c r="L94" s="212">
        <f t="shared" si="36"/>
        <v>1283109.8610149573</v>
      </c>
    </row>
    <row r="95" spans="1:13" x14ac:dyDescent="0.3">
      <c r="A95" s="33" t="s">
        <v>20</v>
      </c>
      <c r="B95" s="33" t="str">
        <f t="shared" ref="B95:B96" si="37">B94</f>
        <v>Multi</v>
      </c>
      <c r="D95" s="92">
        <f t="shared" ref="D95:J95" si="38">D36</f>
        <v>617162.32499999995</v>
      </c>
      <c r="E95" s="92">
        <f t="shared" si="38"/>
        <v>620137.91917499993</v>
      </c>
      <c r="F95" s="92">
        <f t="shared" si="38"/>
        <v>624974.52248345118</v>
      </c>
      <c r="G95" s="92">
        <f t="shared" si="38"/>
        <v>629302.07116959256</v>
      </c>
      <c r="H95" s="92">
        <f t="shared" si="38"/>
        <v>633198.17994739837</v>
      </c>
      <c r="I95" s="92">
        <f t="shared" si="38"/>
        <v>635956.15379946097</v>
      </c>
      <c r="J95" s="92">
        <f t="shared" si="38"/>
        <v>637552.84973921359</v>
      </c>
      <c r="K95" s="92">
        <f t="shared" ref="K95:L95" si="39">K36</f>
        <v>639080.45599679626</v>
      </c>
      <c r="L95" s="92">
        <f t="shared" si="39"/>
        <v>640915.39132395166</v>
      </c>
    </row>
    <row r="96" spans="1:13" x14ac:dyDescent="0.3">
      <c r="A96" s="121" t="s">
        <v>89</v>
      </c>
      <c r="B96" s="121" t="str">
        <f t="shared" si="37"/>
        <v>Multi</v>
      </c>
      <c r="D96" s="134">
        <f>D94/D95</f>
        <v>2.0019957054930635</v>
      </c>
      <c r="E96" s="134">
        <f t="shared" ref="E96:J96" si="40">E94/E95</f>
        <v>2.0019957054930635</v>
      </c>
      <c r="F96" s="134">
        <f t="shared" si="40"/>
        <v>2.0019957054930635</v>
      </c>
      <c r="G96" s="134">
        <f t="shared" si="40"/>
        <v>2.0019957054930635</v>
      </c>
      <c r="H96" s="134">
        <f t="shared" si="40"/>
        <v>2.0019957054930635</v>
      </c>
      <c r="I96" s="134">
        <f t="shared" si="40"/>
        <v>2.0019957054930635</v>
      </c>
      <c r="J96" s="134">
        <f t="shared" si="40"/>
        <v>2.0019957054930635</v>
      </c>
      <c r="K96" s="134">
        <f t="shared" ref="K96:L96" si="41">K94/K95</f>
        <v>2.0019957054930635</v>
      </c>
      <c r="L96" s="134">
        <f t="shared" si="41"/>
        <v>2.001995705493063</v>
      </c>
    </row>
    <row r="97" spans="1:12" x14ac:dyDescent="0.3">
      <c r="K97" s="196"/>
      <c r="L97" s="196"/>
    </row>
    <row r="98" spans="1:12" x14ac:dyDescent="0.3">
      <c r="A98" s="33" t="s">
        <v>91</v>
      </c>
      <c r="B98" s="33" t="str">
        <f>B82</f>
        <v>Single</v>
      </c>
      <c r="D98" s="133">
        <f>'Parameters and Assumptions'!D30</f>
        <v>0</v>
      </c>
      <c r="E98" s="133">
        <f t="shared" ref="E98:L99" si="42">$D98</f>
        <v>0</v>
      </c>
      <c r="F98" s="133">
        <f t="shared" si="42"/>
        <v>0</v>
      </c>
      <c r="G98" s="133">
        <f t="shared" si="42"/>
        <v>0</v>
      </c>
      <c r="H98" s="133">
        <f t="shared" si="42"/>
        <v>0</v>
      </c>
      <c r="I98" s="133">
        <f t="shared" si="42"/>
        <v>0</v>
      </c>
      <c r="J98" s="133">
        <f t="shared" si="42"/>
        <v>0</v>
      </c>
      <c r="K98" s="133">
        <f t="shared" si="42"/>
        <v>0</v>
      </c>
      <c r="L98" s="133">
        <f t="shared" si="42"/>
        <v>0</v>
      </c>
    </row>
    <row r="99" spans="1:12" x14ac:dyDescent="0.3">
      <c r="B99" s="33" t="str">
        <f>B83</f>
        <v>Multi</v>
      </c>
      <c r="D99" s="133">
        <f>'Parameters and Assumptions'!D31</f>
        <v>2</v>
      </c>
      <c r="E99" s="133">
        <f t="shared" si="42"/>
        <v>2</v>
      </c>
      <c r="F99" s="133">
        <f t="shared" si="42"/>
        <v>2</v>
      </c>
      <c r="G99" s="133">
        <f t="shared" si="42"/>
        <v>2</v>
      </c>
      <c r="H99" s="133">
        <f t="shared" si="42"/>
        <v>2</v>
      </c>
      <c r="I99" s="133">
        <f t="shared" si="42"/>
        <v>2</v>
      </c>
      <c r="J99" s="133">
        <f t="shared" si="42"/>
        <v>2</v>
      </c>
      <c r="K99" s="133">
        <f t="shared" si="42"/>
        <v>2</v>
      </c>
      <c r="L99" s="133">
        <f t="shared" si="42"/>
        <v>2</v>
      </c>
    </row>
    <row r="100" spans="1:12" x14ac:dyDescent="0.3">
      <c r="K100" s="196"/>
      <c r="L100" s="196"/>
    </row>
    <row r="101" spans="1:12" x14ac:dyDescent="0.3">
      <c r="A101" s="121" t="s">
        <v>94</v>
      </c>
      <c r="B101" s="121" t="str">
        <f>B98</f>
        <v>Single</v>
      </c>
      <c r="D101" s="134">
        <f>D91+D98</f>
        <v>5.1392772035901331</v>
      </c>
      <c r="E101" s="134">
        <f t="shared" ref="E101:J101" si="43">E91+E98</f>
        <v>5.1392772035901331</v>
      </c>
      <c r="F101" s="134">
        <f t="shared" si="43"/>
        <v>5.1392772035901331</v>
      </c>
      <c r="G101" s="134">
        <f t="shared" si="43"/>
        <v>5.1392772035901331</v>
      </c>
      <c r="H101" s="134">
        <f t="shared" si="43"/>
        <v>5.1392772035901331</v>
      </c>
      <c r="I101" s="134">
        <f t="shared" si="43"/>
        <v>5.1392772035901322</v>
      </c>
      <c r="J101" s="134">
        <f t="shared" si="43"/>
        <v>5.1392772035901313</v>
      </c>
      <c r="K101" s="134">
        <f t="shared" ref="K101:L101" si="44">K91+K98</f>
        <v>5.1392772035901322</v>
      </c>
      <c r="L101" s="134">
        <f t="shared" si="44"/>
        <v>5.1392772035901331</v>
      </c>
    </row>
    <row r="102" spans="1:12" x14ac:dyDescent="0.3">
      <c r="A102" s="121"/>
      <c r="B102" s="121" t="str">
        <f>B99</f>
        <v>Multi</v>
      </c>
      <c r="D102" s="134">
        <f>D96+D99</f>
        <v>4.0019957054930639</v>
      </c>
      <c r="E102" s="134">
        <f t="shared" ref="E102:J102" si="45">E96+E99</f>
        <v>4.0019957054930639</v>
      </c>
      <c r="F102" s="134">
        <f t="shared" si="45"/>
        <v>4.0019957054930639</v>
      </c>
      <c r="G102" s="134">
        <f t="shared" si="45"/>
        <v>4.0019957054930639</v>
      </c>
      <c r="H102" s="134">
        <f t="shared" si="45"/>
        <v>4.0019957054930639</v>
      </c>
      <c r="I102" s="134">
        <f t="shared" si="45"/>
        <v>4.0019957054930639</v>
      </c>
      <c r="J102" s="134">
        <f t="shared" si="45"/>
        <v>4.0019957054930639</v>
      </c>
      <c r="K102" s="134">
        <f t="shared" ref="K102:L102" si="46">K96+K99</f>
        <v>4.0019957054930639</v>
      </c>
      <c r="L102" s="134">
        <f t="shared" si="46"/>
        <v>4.001995705493063</v>
      </c>
    </row>
    <row r="103" spans="1:12" ht="8.15" customHeight="1" thickBot="1" x14ac:dyDescent="0.35">
      <c r="A103" s="98"/>
      <c r="B103" s="98"/>
      <c r="C103" s="98"/>
      <c r="D103" s="98"/>
      <c r="E103" s="98"/>
      <c r="F103" s="98"/>
      <c r="G103" s="98"/>
      <c r="H103" s="98"/>
      <c r="I103" s="98"/>
      <c r="J103" s="98"/>
      <c r="K103" s="98"/>
      <c r="L103" s="216"/>
    </row>
    <row r="104" spans="1:12" ht="8.15" customHeight="1" x14ac:dyDescent="0.3">
      <c r="L104" s="196"/>
    </row>
  </sheetData>
  <conditionalFormatting sqref="C27">
    <cfRule type="cellIs" dxfId="5" priority="2" stopIfTrue="1" operator="notEqual">
      <formula>TRUE</formula>
    </cfRule>
  </conditionalFormatting>
  <conditionalFormatting sqref="D38:L38">
    <cfRule type="cellIs" dxfId="4" priority="1" stopIfTrue="1" operator="notEqual">
      <formula>TRUE</formula>
    </cfRule>
  </conditionalFormatting>
  <pageMargins left="0.19685039370078741" right="0.19685039370078741" top="0.39370078740157483" bottom="0.39370078740157483" header="0.19685039370078741" footer="0.19685039370078741"/>
  <pageSetup paperSize="9" scale="65" orientation="landscape" r:id="rId1"/>
  <headerFooter>
    <oddHeader>&amp;L&amp;"Calibri"&amp;11&amp;K000000File: &amp;F Tab: &amp;A&amp;Cpage &amp;P of &amp;N&amp;R&amp;"Calibri"&amp;11&amp;K000000File: &amp;F Tab: &amp;A</oddHeader>
  </headerFooter>
  <rowBreaks count="1" manualBreakCount="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969-3ABE-4C08-846E-5EFC68D019D7}">
  <sheetPr codeName="Sheet17"/>
  <dimension ref="A1:O46"/>
  <sheetViews>
    <sheetView zoomScaleNormal="100" workbookViewId="0">
      <selection activeCell="E24" sqref="E24"/>
    </sheetView>
  </sheetViews>
  <sheetFormatPr defaultColWidth="8.81640625" defaultRowHeight="14.5" x14ac:dyDescent="0.35"/>
  <cols>
    <col min="1" max="1" width="16.7265625" style="8" customWidth="1"/>
    <col min="2" max="2" width="8.81640625" style="8"/>
    <col min="3" max="3" width="10.54296875" style="8" customWidth="1"/>
    <col min="4" max="10" width="13.54296875" style="8" customWidth="1"/>
    <col min="11" max="12" width="13.54296875" style="195" customWidth="1"/>
    <col min="13" max="14" width="8.81640625" style="8"/>
    <col min="15" max="15" width="23.7265625" style="8" customWidth="1"/>
    <col min="16" max="16384" width="8.81640625" style="8"/>
  </cols>
  <sheetData>
    <row r="1" spans="1:15" s="33" customFormat="1" ht="21" x14ac:dyDescent="0.5">
      <c r="A1" s="100" t="s">
        <v>289</v>
      </c>
      <c r="K1" s="196"/>
      <c r="L1" s="196"/>
    </row>
    <row r="2" spans="1:15" s="33" customFormat="1" ht="9" customHeight="1" x14ac:dyDescent="0.3">
      <c r="K2" s="196"/>
      <c r="L2" s="196"/>
    </row>
    <row r="3" spans="1:15" s="33" customFormat="1" ht="15.5" x14ac:dyDescent="0.35">
      <c r="A3" s="11" t="s">
        <v>137</v>
      </c>
      <c r="K3" s="196"/>
      <c r="L3" s="196"/>
    </row>
    <row r="4" spans="1:15" s="33" customFormat="1" ht="10.15" customHeight="1" x14ac:dyDescent="0.3">
      <c r="K4" s="196"/>
      <c r="L4" s="196"/>
    </row>
    <row r="5" spans="1:15" s="33" customFormat="1" x14ac:dyDescent="0.3">
      <c r="A5" s="80" t="s">
        <v>82</v>
      </c>
      <c r="D5" s="387" t="str">
        <f>'Parameters and Assumptions'!D34</f>
        <v>2022/23</v>
      </c>
      <c r="E5" s="387" t="str">
        <f>'Parameters and Assumptions'!E34</f>
        <v>2023/24</v>
      </c>
      <c r="F5" s="387" t="str">
        <f>'Parameters and Assumptions'!F34</f>
        <v>2024/25</v>
      </c>
      <c r="G5" s="387" t="str">
        <f>'Parameters and Assumptions'!G34</f>
        <v>2025/26</v>
      </c>
      <c r="H5" s="387" t="str">
        <f>'Parameters and Assumptions'!H34</f>
        <v>2026/27</v>
      </c>
      <c r="I5" s="387" t="str">
        <f>'Parameters and Assumptions'!I34</f>
        <v>2027/28</v>
      </c>
      <c r="J5" s="387" t="str">
        <f>'Parameters and Assumptions'!J34</f>
        <v>2028/29</v>
      </c>
      <c r="K5" s="387" t="str">
        <f>'Parameters and Assumptions'!K34</f>
        <v>2029/30</v>
      </c>
      <c r="L5" s="387" t="str">
        <f>'Parameters and Assumptions'!L34</f>
        <v>2030/31</v>
      </c>
    </row>
    <row r="6" spans="1:15" s="33" customFormat="1" x14ac:dyDescent="0.35">
      <c r="A6" s="196" t="str">
        <f>'Parameters and Assumptions'!A36</f>
        <v>PIA Asset Inflation value</v>
      </c>
      <c r="D6" s="388" cm="1">
        <f t="array" ref="D6:L6">asset_inflation</f>
        <v>0.12873938663127604</v>
      </c>
      <c r="E6" s="388">
        <v>7.4787643228200862E-2</v>
      </c>
      <c r="F6" s="388">
        <v>3.3557004069397545E-2</v>
      </c>
      <c r="G6" s="388">
        <v>3.4814649098156014E-2</v>
      </c>
      <c r="H6" s="388">
        <v>0.02</v>
      </c>
      <c r="I6" s="388">
        <v>0.02</v>
      </c>
      <c r="J6" s="388">
        <v>0.02</v>
      </c>
      <c r="K6" s="388">
        <v>0.02</v>
      </c>
      <c r="L6" s="388">
        <v>0.02</v>
      </c>
    </row>
    <row r="7" spans="1:15" s="33" customFormat="1" x14ac:dyDescent="0.3">
      <c r="A7" s="33" t="s">
        <v>81</v>
      </c>
      <c r="D7" s="389">
        <v>1</v>
      </c>
      <c r="E7" s="389">
        <f t="shared" ref="E7" si="0">D7*(1+E6)</f>
        <v>1.0747876432282009</v>
      </c>
      <c r="F7" s="389">
        <f t="shared" ref="F7" si="1">E7*(1+F6)</f>
        <v>1.1108542965457477</v>
      </c>
      <c r="G7" s="389">
        <f t="shared" ref="G7" si="2">F7*(1+G6)</f>
        <v>1.1495282990791669</v>
      </c>
      <c r="H7" s="389">
        <f t="shared" ref="H7" si="3">G7*(1+H6)</f>
        <v>1.1725188650607503</v>
      </c>
      <c r="I7" s="389">
        <f t="shared" ref="I7" si="4">H7*(1+I6)</f>
        <v>1.1959692423619654</v>
      </c>
      <c r="J7" s="389">
        <f t="shared" ref="J7" si="5">I7*(1+J6)</f>
        <v>1.2198886272092049</v>
      </c>
      <c r="K7" s="389">
        <f t="shared" ref="K7" si="6">J7*(1+K6)</f>
        <v>1.2442863997533891</v>
      </c>
      <c r="L7" s="389">
        <f t="shared" ref="L7" si="7">K7*(1+L6)</f>
        <v>1.2691721277484569</v>
      </c>
    </row>
    <row r="8" spans="1:15" s="33" customFormat="1" x14ac:dyDescent="0.35">
      <c r="D8" s="390"/>
      <c r="E8" s="390"/>
      <c r="F8" s="390"/>
      <c r="G8" s="390"/>
      <c r="H8" s="390"/>
      <c r="I8" s="390"/>
      <c r="J8" s="390"/>
      <c r="K8" s="390"/>
      <c r="L8" s="390"/>
    </row>
    <row r="9" spans="1:15" s="33" customFormat="1" x14ac:dyDescent="0.3">
      <c r="A9" s="80" t="s">
        <v>80</v>
      </c>
      <c r="D9" s="387" t="s">
        <v>36</v>
      </c>
      <c r="E9" s="387" t="s">
        <v>37</v>
      </c>
      <c r="F9" s="387" t="s">
        <v>40</v>
      </c>
      <c r="G9" s="387" t="s">
        <v>39</v>
      </c>
      <c r="H9" s="387" t="s">
        <v>266</v>
      </c>
      <c r="I9" s="387" t="s">
        <v>267</v>
      </c>
      <c r="J9" s="387" t="s">
        <v>268</v>
      </c>
      <c r="K9" s="387" t="s">
        <v>269</v>
      </c>
      <c r="L9" s="387" t="s">
        <v>270</v>
      </c>
    </row>
    <row r="10" spans="1:15" s="33" customFormat="1" x14ac:dyDescent="0.35">
      <c r="A10" s="33" t="s">
        <v>210</v>
      </c>
      <c r="D10" s="391">
        <f>'Input data'!E174</f>
        <v>600</v>
      </c>
      <c r="E10" s="391">
        <f t="shared" ref="E10" si="8">D10*(1+E6)</f>
        <v>644.87258593692047</v>
      </c>
      <c r="F10" s="391">
        <f t="shared" ref="F10" si="9">E10*(1+F6)</f>
        <v>666.51257792744866</v>
      </c>
      <c r="G10" s="391">
        <f t="shared" ref="G10" si="10">F10*(1+G6)</f>
        <v>689.71697944750019</v>
      </c>
      <c r="H10" s="391">
        <f t="shared" ref="H10" si="11">G10*(1+H6)</f>
        <v>703.51131903645023</v>
      </c>
      <c r="I10" s="391">
        <f t="shared" ref="I10" si="12">H10*(1+I6)</f>
        <v>717.5815454171792</v>
      </c>
      <c r="J10" s="391">
        <f t="shared" ref="J10" si="13">I10*(1+J6)</f>
        <v>731.93317632552282</v>
      </c>
      <c r="K10" s="391">
        <f t="shared" ref="K10" si="14">J10*(1+K6)</f>
        <v>746.57183985203324</v>
      </c>
      <c r="L10" s="391">
        <f t="shared" ref="L10" si="15">K10*(1+L6)</f>
        <v>761.50327664907388</v>
      </c>
    </row>
    <row r="11" spans="1:15" x14ac:dyDescent="0.35">
      <c r="A11" s="196" t="s">
        <v>138</v>
      </c>
      <c r="D11" s="392"/>
      <c r="E11" s="393">
        <f>'Parameters and Assumptions'!E53</f>
        <v>80603.808999999994</v>
      </c>
      <c r="F11" s="393">
        <f>'Parameters and Assumptions'!F53</f>
        <v>74491.90216206538</v>
      </c>
      <c r="G11" s="393">
        <f>'Parameters and Assumptions'!G53</f>
        <v>63334.248482687166</v>
      </c>
      <c r="H11" s="393">
        <f>'Parameters and Assumptions'!H53</f>
        <v>65665.512406790396</v>
      </c>
      <c r="I11" s="393">
        <f>'Parameters and Assumptions'!I53</f>
        <v>40627.800908839112</v>
      </c>
      <c r="J11" s="393">
        <f>'Parameters and Assumptions'!J53</f>
        <v>42991.244129153078</v>
      </c>
      <c r="K11" s="393">
        <f>'Parameters and Assumptions'!K53</f>
        <v>45955.894254904306</v>
      </c>
      <c r="L11" s="393">
        <f>'Parameters and Assumptions'!L53</f>
        <v>48149.465906527272</v>
      </c>
    </row>
    <row r="12" spans="1:15" x14ac:dyDescent="0.35">
      <c r="A12" s="196" t="s">
        <v>139</v>
      </c>
      <c r="D12" s="394"/>
      <c r="E12" s="395">
        <f>'Parameters and Assumptions'!E68 + 'Network Adjs'!F6/Million</f>
        <v>88.982168371440196</v>
      </c>
      <c r="F12" s="395">
        <f>'Parameters and Assumptions'!F68 + 'Network Adjs'!G6/Million</f>
        <v>102.08010818188959</v>
      </c>
      <c r="G12" s="395">
        <f>'Parameters and Assumptions'!G68 + 'Network Adjs'!H6/Million</f>
        <v>92.358322660632481</v>
      </c>
      <c r="H12" s="395">
        <f>'Parameters and Assumptions'!H68 + 'Network Adjs'!I6/Million</f>
        <v>79.267822696756596</v>
      </c>
      <c r="I12" s="395">
        <f>'Parameters and Assumptions'!I68 + 'Network Adjs'!J6/Million</f>
        <v>64.128174060435839</v>
      </c>
      <c r="J12" s="395">
        <f>'Parameters and Assumptions'!J68 + 'Network Adjs'!K6/Million</f>
        <v>59.186907080865822</v>
      </c>
      <c r="K12" s="395">
        <f>'Parameters and Assumptions'!K68 + 'Network Adjs'!L6/Million</f>
        <v>59.734242158842434</v>
      </c>
      <c r="L12" s="395">
        <f>'Parameters and Assumptions'!L68 + 'Network Adjs'!M6/Million</f>
        <v>61.964728339861558</v>
      </c>
      <c r="M12" s="384" t="s">
        <v>324</v>
      </c>
    </row>
    <row r="13" spans="1:15" s="33" customFormat="1" ht="10.15" customHeight="1" thickBot="1" x14ac:dyDescent="0.4">
      <c r="A13" s="98"/>
      <c r="B13" s="98"/>
      <c r="C13" s="98"/>
      <c r="D13" s="396"/>
      <c r="E13" s="396"/>
      <c r="F13" s="396"/>
      <c r="G13" s="396"/>
      <c r="H13" s="396"/>
      <c r="I13" s="396"/>
      <c r="J13" s="396"/>
      <c r="K13" s="396"/>
      <c r="L13" s="396"/>
      <c r="M13" s="98"/>
      <c r="N13" s="98"/>
      <c r="O13" s="98"/>
    </row>
    <row r="14" spans="1:15" s="33" customFormat="1" ht="10.15" customHeight="1" x14ac:dyDescent="0.35">
      <c r="D14" s="390"/>
      <c r="E14" s="390"/>
      <c r="F14" s="390"/>
      <c r="G14" s="390"/>
      <c r="H14" s="390"/>
      <c r="I14" s="390"/>
      <c r="J14" s="390"/>
      <c r="K14" s="390"/>
      <c r="L14" s="390"/>
    </row>
    <row r="15" spans="1:15" ht="15.5" x14ac:dyDescent="0.35">
      <c r="A15" s="11" t="s">
        <v>285</v>
      </c>
      <c r="D15" s="390"/>
      <c r="E15" s="397"/>
      <c r="F15" s="397"/>
      <c r="G15" s="397"/>
      <c r="H15" s="397"/>
      <c r="I15" s="397"/>
      <c r="J15" s="397"/>
      <c r="K15" s="397"/>
      <c r="L15" s="397"/>
    </row>
    <row r="16" spans="1:15" s="195" customFormat="1" ht="8.5" customHeight="1" x14ac:dyDescent="0.35">
      <c r="A16" s="198"/>
      <c r="D16" s="390"/>
      <c r="E16" s="390"/>
      <c r="F16" s="390"/>
      <c r="G16" s="390"/>
      <c r="H16" s="390"/>
      <c r="I16" s="390"/>
      <c r="J16" s="390"/>
      <c r="K16" s="390"/>
      <c r="L16" s="390"/>
    </row>
    <row r="17" spans="1:13" x14ac:dyDescent="0.35">
      <c r="A17" s="257"/>
      <c r="B17" s="259"/>
      <c r="C17" s="259"/>
      <c r="D17" s="398" t="s">
        <v>36</v>
      </c>
      <c r="E17" s="398" t="s">
        <v>37</v>
      </c>
      <c r="F17" s="398" t="s">
        <v>40</v>
      </c>
      <c r="G17" s="398" t="s">
        <v>39</v>
      </c>
      <c r="H17" s="398" t="s">
        <v>266</v>
      </c>
      <c r="I17" s="398" t="s">
        <v>267</v>
      </c>
      <c r="J17" s="398" t="s">
        <v>268</v>
      </c>
      <c r="K17" s="398" t="s">
        <v>269</v>
      </c>
      <c r="L17" s="398" t="s">
        <v>270</v>
      </c>
    </row>
    <row r="18" spans="1:13" s="195" customFormat="1" x14ac:dyDescent="0.35">
      <c r="A18" s="258" t="s">
        <v>187</v>
      </c>
      <c r="D18" s="390">
        <f t="shared" ref="D18:L18" si="16">pole_asset_life</f>
        <v>40</v>
      </c>
      <c r="E18" s="390">
        <f t="shared" si="16"/>
        <v>40</v>
      </c>
      <c r="F18" s="390">
        <f t="shared" si="16"/>
        <v>40</v>
      </c>
      <c r="G18" s="390">
        <f t="shared" si="16"/>
        <v>40</v>
      </c>
      <c r="H18" s="390">
        <f t="shared" si="16"/>
        <v>40</v>
      </c>
      <c r="I18" s="390">
        <f t="shared" si="16"/>
        <v>40</v>
      </c>
      <c r="J18" s="390">
        <f t="shared" si="16"/>
        <v>40</v>
      </c>
      <c r="K18" s="390">
        <f t="shared" si="16"/>
        <v>40</v>
      </c>
      <c r="L18" s="390">
        <f t="shared" si="16"/>
        <v>40</v>
      </c>
    </row>
    <row r="19" spans="1:13" s="33" customFormat="1" x14ac:dyDescent="0.35">
      <c r="A19" s="196" t="s">
        <v>188</v>
      </c>
      <c r="D19" s="399">
        <f>D$6</f>
        <v>0.12873938663127604</v>
      </c>
      <c r="E19" s="399">
        <f t="shared" ref="E19:L19" si="17">E$6</f>
        <v>7.4787643228200862E-2</v>
      </c>
      <c r="F19" s="399">
        <f t="shared" si="17"/>
        <v>3.3557004069397545E-2</v>
      </c>
      <c r="G19" s="399">
        <f t="shared" si="17"/>
        <v>3.4814649098156014E-2</v>
      </c>
      <c r="H19" s="399">
        <f t="shared" si="17"/>
        <v>0.02</v>
      </c>
      <c r="I19" s="399">
        <f t="shared" si="17"/>
        <v>0.02</v>
      </c>
      <c r="J19" s="399">
        <f t="shared" si="17"/>
        <v>0.02</v>
      </c>
      <c r="K19" s="399">
        <f t="shared" si="17"/>
        <v>0.02</v>
      </c>
      <c r="L19" s="399">
        <f t="shared" si="17"/>
        <v>0.02</v>
      </c>
    </row>
    <row r="20" spans="1:13" s="196" customFormat="1" x14ac:dyDescent="0.35">
      <c r="D20" s="390"/>
      <c r="E20" s="399"/>
      <c r="F20" s="399"/>
      <c r="G20" s="399"/>
      <c r="H20" s="399"/>
      <c r="I20" s="399"/>
      <c r="J20" s="399"/>
      <c r="K20" s="399"/>
      <c r="L20" s="399"/>
    </row>
    <row r="21" spans="1:13" s="33" customFormat="1" x14ac:dyDescent="0.35">
      <c r="A21" s="33" t="s">
        <v>49</v>
      </c>
      <c r="B21" s="196"/>
      <c r="C21" s="196"/>
      <c r="D21" s="386">
        <f>'Input data'!E178</f>
        <v>298.65794891435053</v>
      </c>
      <c r="E21" s="403">
        <f>D25</f>
        <v>394.76029243853696</v>
      </c>
      <c r="F21" s="403">
        <f t="shared" ref="F21:L21" si="18">E25</f>
        <v>486.42479299363714</v>
      </c>
      <c r="G21" s="403">
        <f t="shared" si="18"/>
        <v>572.58767060496746</v>
      </c>
      <c r="H21" s="403">
        <f t="shared" si="18"/>
        <v>656.64280813151663</v>
      </c>
      <c r="I21" s="403">
        <f t="shared" si="18"/>
        <v>720.11458835780877</v>
      </c>
      <c r="J21" s="403">
        <f t="shared" si="18"/>
        <v>773.10651741702225</v>
      </c>
      <c r="K21" s="403">
        <f t="shared" si="18"/>
        <v>823.85492614097348</v>
      </c>
      <c r="L21" s="403">
        <f t="shared" si="18"/>
        <v>876.28864340954465</v>
      </c>
    </row>
    <row r="22" spans="1:13" s="33" customFormat="1" x14ac:dyDescent="0.35">
      <c r="A22" s="33" t="s">
        <v>78</v>
      </c>
      <c r="D22" s="442"/>
      <c r="E22" s="403">
        <f>E12</f>
        <v>88.982168371440196</v>
      </c>
      <c r="F22" s="403">
        <f t="shared" ref="F22:L22" si="19">F12</f>
        <v>102.08010818188959</v>
      </c>
      <c r="G22" s="403">
        <f t="shared" si="19"/>
        <v>92.358322660632481</v>
      </c>
      <c r="H22" s="403">
        <f t="shared" si="19"/>
        <v>79.267822696756596</v>
      </c>
      <c r="I22" s="403">
        <f t="shared" si="19"/>
        <v>64.128174060435839</v>
      </c>
      <c r="J22" s="403">
        <f t="shared" si="19"/>
        <v>59.186907080865822</v>
      </c>
      <c r="K22" s="403">
        <f t="shared" si="19"/>
        <v>59.734242158842434</v>
      </c>
      <c r="L22" s="403">
        <f t="shared" si="19"/>
        <v>61.964728339861558</v>
      </c>
    </row>
    <row r="23" spans="1:13" s="33" customFormat="1" x14ac:dyDescent="0.35">
      <c r="A23" s="33" t="s">
        <v>48</v>
      </c>
      <c r="D23" s="442"/>
      <c r="E23" s="403">
        <f>(E21+0.5*E22)*E6</f>
        <v>32.850575242471024</v>
      </c>
      <c r="F23" s="403">
        <f t="shared" ref="F23:L23" si="20">(F21+0.5*F22)*F6</f>
        <v>18.035710060775447</v>
      </c>
      <c r="G23" s="403">
        <f t="shared" si="20"/>
        <v>21.542150127404579</v>
      </c>
      <c r="H23" s="403">
        <f t="shared" si="20"/>
        <v>13.9255343895979</v>
      </c>
      <c r="I23" s="403">
        <f t="shared" si="20"/>
        <v>15.043573507760534</v>
      </c>
      <c r="J23" s="403">
        <f t="shared" si="20"/>
        <v>16.053999419149104</v>
      </c>
      <c r="K23" s="403">
        <f t="shared" si="20"/>
        <v>17.074440944407893</v>
      </c>
      <c r="L23" s="403">
        <f t="shared" si="20"/>
        <v>18.145420151589509</v>
      </c>
    </row>
    <row r="24" spans="1:13" s="33" customFormat="1" x14ac:dyDescent="0.35">
      <c r="A24" s="33" t="s">
        <v>50</v>
      </c>
      <c r="D24" s="442"/>
      <c r="E24" s="401">
        <f>-SUM('Parameters and Assumptions'!E69)</f>
        <v>-30.168243058811026</v>
      </c>
      <c r="F24" s="401">
        <f>-SUM('Parameters and Assumptions'!F69)</f>
        <v>-33.952940631334755</v>
      </c>
      <c r="G24" s="401">
        <f>-SUM('Parameters and Assumptions'!G69)</f>
        <v>-29.845335261487843</v>
      </c>
      <c r="H24" s="401">
        <f>-SUM('Parameters and Assumptions'!H69)</f>
        <v>-29.721576860062473</v>
      </c>
      <c r="I24" s="401">
        <f>-SUM('Parameters and Assumptions'!I69)</f>
        <v>-26.179818508982979</v>
      </c>
      <c r="J24" s="401">
        <f>-SUM('Parameters and Assumptions'!J69)</f>
        <v>-24.492497776063754</v>
      </c>
      <c r="K24" s="401">
        <f>-SUM('Parameters and Assumptions'!K69)</f>
        <v>-24.374965834679163</v>
      </c>
      <c r="L24" s="401">
        <f>-SUM('Parameters and Assumptions'!L69)</f>
        <v>-22.566567070625805</v>
      </c>
      <c r="M24" s="384" t="s">
        <v>325</v>
      </c>
    </row>
    <row r="25" spans="1:13" s="33" customFormat="1" x14ac:dyDescent="0.35">
      <c r="A25" s="33" t="s">
        <v>51</v>
      </c>
      <c r="D25" s="386">
        <f>'Input data'!E179</f>
        <v>394.76029243853696</v>
      </c>
      <c r="E25" s="403">
        <f t="shared" ref="E25:L25" si="21">SUM(E21:E24)</f>
        <v>486.42479299363714</v>
      </c>
      <c r="F25" s="403">
        <f t="shared" si="21"/>
        <v>572.58767060496746</v>
      </c>
      <c r="G25" s="403">
        <f t="shared" si="21"/>
        <v>656.64280813151663</v>
      </c>
      <c r="H25" s="403">
        <f t="shared" si="21"/>
        <v>720.11458835780877</v>
      </c>
      <c r="I25" s="403">
        <f t="shared" si="21"/>
        <v>773.10651741702225</v>
      </c>
      <c r="J25" s="403">
        <f t="shared" si="21"/>
        <v>823.85492614097348</v>
      </c>
      <c r="K25" s="403">
        <f t="shared" si="21"/>
        <v>876.28864340954465</v>
      </c>
      <c r="L25" s="403">
        <f t="shared" si="21"/>
        <v>933.83222483037002</v>
      </c>
    </row>
    <row r="26" spans="1:13" s="33" customFormat="1" x14ac:dyDescent="0.35">
      <c r="A26" s="60" t="s">
        <v>38</v>
      </c>
      <c r="D26" s="196"/>
      <c r="E26" s="424" t="b">
        <f t="shared" ref="E26:L26" si="22">IF(ABS(E25-SUM(E21:E24))&lt;0.000001,TRUE,FALSE)</f>
        <v>1</v>
      </c>
      <c r="F26" s="424" t="b">
        <f t="shared" si="22"/>
        <v>1</v>
      </c>
      <c r="G26" s="424" t="b">
        <f t="shared" si="22"/>
        <v>1</v>
      </c>
      <c r="H26" s="424" t="b">
        <f t="shared" si="22"/>
        <v>1</v>
      </c>
      <c r="I26" s="424" t="b">
        <f t="shared" si="22"/>
        <v>1</v>
      </c>
      <c r="J26" s="424" t="b">
        <f t="shared" si="22"/>
        <v>1</v>
      </c>
      <c r="K26" s="424" t="b">
        <f t="shared" si="22"/>
        <v>1</v>
      </c>
      <c r="L26" s="424" t="b">
        <f t="shared" si="22"/>
        <v>1</v>
      </c>
    </row>
    <row r="27" spans="1:13" s="33" customFormat="1" x14ac:dyDescent="0.35">
      <c r="D27" s="402"/>
      <c r="E27" s="402"/>
      <c r="F27" s="402"/>
      <c r="G27" s="402"/>
      <c r="H27" s="402"/>
      <c r="I27" s="402"/>
      <c r="J27" s="402"/>
      <c r="K27" s="402"/>
      <c r="L27" s="402"/>
    </row>
    <row r="28" spans="1:13" s="33" customFormat="1" x14ac:dyDescent="0.35">
      <c r="A28" s="33" t="s">
        <v>79</v>
      </c>
      <c r="D28" s="386">
        <f>'Input data'!E182</f>
        <v>218.00422262896078</v>
      </c>
      <c r="E28" s="403">
        <f>D32</f>
        <v>283.59577737103945</v>
      </c>
      <c r="F28" s="403">
        <f t="shared" ref="F28:L28" si="23">E32</f>
        <v>386.09997532454452</v>
      </c>
      <c r="G28" s="403">
        <f t="shared" si="23"/>
        <v>489.61153745744372</v>
      </c>
      <c r="H28" s="403">
        <f t="shared" si="23"/>
        <v>585.25784430222188</v>
      </c>
      <c r="I28" s="403">
        <f t="shared" si="23"/>
        <v>659.81403465587391</v>
      </c>
      <c r="J28" s="403">
        <f t="shared" si="23"/>
        <v>719.11450732784624</v>
      </c>
      <c r="K28" s="403">
        <f t="shared" si="23"/>
        <v>773.31355558160271</v>
      </c>
      <c r="L28" s="403">
        <f t="shared" si="23"/>
        <v>827.8596166542842</v>
      </c>
    </row>
    <row r="29" spans="1:13" s="33" customFormat="1" x14ac:dyDescent="0.35">
      <c r="A29" s="33" t="s">
        <v>46</v>
      </c>
      <c r="D29" s="400">
        <f>D32-D28 - SUM(D30:D31)</f>
        <v>45.827313082723556</v>
      </c>
      <c r="E29" s="403">
        <f>E22</f>
        <v>88.982168371440196</v>
      </c>
      <c r="F29" s="403">
        <f t="shared" ref="F29:L29" si="24">F22</f>
        <v>102.08010818188959</v>
      </c>
      <c r="G29" s="403">
        <f t="shared" si="24"/>
        <v>92.358322660632481</v>
      </c>
      <c r="H29" s="403">
        <f t="shared" si="24"/>
        <v>79.267822696756596</v>
      </c>
      <c r="I29" s="403">
        <f t="shared" si="24"/>
        <v>64.128174060435839</v>
      </c>
      <c r="J29" s="403">
        <f t="shared" si="24"/>
        <v>59.186907080865822</v>
      </c>
      <c r="K29" s="403">
        <f t="shared" si="24"/>
        <v>59.734242158842434</v>
      </c>
      <c r="L29" s="403">
        <f t="shared" si="24"/>
        <v>61.964728339861558</v>
      </c>
    </row>
    <row r="30" spans="1:13" s="33" customFormat="1" x14ac:dyDescent="0.35">
      <c r="A30" s="33" t="s">
        <v>48</v>
      </c>
      <c r="D30" s="403">
        <f>D28*D6</f>
        <v>28.065729904280559</v>
      </c>
      <c r="E30" s="403">
        <f>(E28+0.5*E29)*E6</f>
        <v>24.536843149967062</v>
      </c>
      <c r="F30" s="403">
        <f t="shared" ref="F30:L30" si="25">(F28+0.5*F29)*F6</f>
        <v>14.669109745992138</v>
      </c>
      <c r="G30" s="403">
        <f t="shared" si="25"/>
        <v>18.653365168351669</v>
      </c>
      <c r="H30" s="403">
        <f t="shared" si="25"/>
        <v>12.497835113012004</v>
      </c>
      <c r="I30" s="403">
        <f t="shared" si="25"/>
        <v>13.837562433721837</v>
      </c>
      <c r="J30" s="403">
        <f t="shared" si="25"/>
        <v>14.974159217365584</v>
      </c>
      <c r="K30" s="403">
        <f t="shared" si="25"/>
        <v>16.063613533220479</v>
      </c>
      <c r="L30" s="403">
        <f t="shared" si="25"/>
        <v>17.176839616484298</v>
      </c>
    </row>
    <row r="31" spans="1:13" s="33" customFormat="1" x14ac:dyDescent="0.35">
      <c r="A31" s="33" t="s">
        <v>47</v>
      </c>
      <c r="D31" s="386">
        <f>-'Input data'!E185</f>
        <v>-8.3014882449254461</v>
      </c>
      <c r="E31" s="403">
        <f>-AVERAGE(E25,E21)/E18</f>
        <v>-11.014813567902177</v>
      </c>
      <c r="F31" s="403">
        <f t="shared" ref="F31:L31" si="26">-AVERAGE(F25,F21)/F18</f>
        <v>-13.237655794982558</v>
      </c>
      <c r="G31" s="403">
        <f t="shared" si="26"/>
        <v>-15.365380984206052</v>
      </c>
      <c r="H31" s="403">
        <f t="shared" si="26"/>
        <v>-17.209467456116567</v>
      </c>
      <c r="I31" s="403">
        <f t="shared" si="26"/>
        <v>-18.665263822185388</v>
      </c>
      <c r="J31" s="403">
        <f t="shared" si="26"/>
        <v>-19.962018044474945</v>
      </c>
      <c r="K31" s="403">
        <f t="shared" si="26"/>
        <v>-21.251794619381478</v>
      </c>
      <c r="L31" s="403">
        <f t="shared" si="26"/>
        <v>-22.626510852998933</v>
      </c>
    </row>
    <row r="32" spans="1:13" s="33" customFormat="1" x14ac:dyDescent="0.35">
      <c r="A32" s="33" t="s">
        <v>52</v>
      </c>
      <c r="D32" s="386">
        <f>'Input data'!E183</f>
        <v>283.59577737103945</v>
      </c>
      <c r="E32" s="403">
        <f t="shared" ref="E32:L32" si="27">SUM(E28:E31)</f>
        <v>386.09997532454452</v>
      </c>
      <c r="F32" s="403">
        <f t="shared" si="27"/>
        <v>489.61153745744372</v>
      </c>
      <c r="G32" s="403">
        <f t="shared" si="27"/>
        <v>585.25784430222188</v>
      </c>
      <c r="H32" s="403">
        <f t="shared" si="27"/>
        <v>659.81403465587391</v>
      </c>
      <c r="I32" s="403">
        <f t="shared" si="27"/>
        <v>719.11450732784624</v>
      </c>
      <c r="J32" s="403">
        <f t="shared" si="27"/>
        <v>773.31355558160271</v>
      </c>
      <c r="K32" s="403">
        <f t="shared" si="27"/>
        <v>827.8596166542842</v>
      </c>
      <c r="L32" s="403">
        <f t="shared" si="27"/>
        <v>884.37467375763117</v>
      </c>
    </row>
    <row r="33" spans="1:15" s="33" customFormat="1" x14ac:dyDescent="0.35">
      <c r="A33" s="60" t="s">
        <v>38</v>
      </c>
      <c r="D33" s="352" t="b">
        <f>IF(ABS(D32-SUM(D28:D31))&lt;0.000001,TRUE,FALSE)</f>
        <v>1</v>
      </c>
      <c r="E33" s="352" t="b">
        <f t="shared" ref="E33:L33" si="28">IF(ABS(E32-SUM(E28:E31))&lt;0.000001,TRUE,FALSE)</f>
        <v>1</v>
      </c>
      <c r="F33" s="352" t="b">
        <f t="shared" si="28"/>
        <v>1</v>
      </c>
      <c r="G33" s="352" t="b">
        <f t="shared" si="28"/>
        <v>1</v>
      </c>
      <c r="H33" s="352" t="b">
        <f t="shared" si="28"/>
        <v>1</v>
      </c>
      <c r="I33" s="352" t="b">
        <f t="shared" si="28"/>
        <v>1</v>
      </c>
      <c r="J33" s="352" t="b">
        <f t="shared" si="28"/>
        <v>1</v>
      </c>
      <c r="K33" s="352" t="b">
        <f t="shared" si="28"/>
        <v>1</v>
      </c>
      <c r="L33" s="352" t="b">
        <f t="shared" si="28"/>
        <v>1</v>
      </c>
    </row>
    <row r="34" spans="1:15" s="33" customFormat="1" ht="10.15" customHeight="1" thickBot="1" x14ac:dyDescent="0.4">
      <c r="A34" s="98"/>
      <c r="B34" s="98"/>
      <c r="C34" s="98"/>
      <c r="D34" s="396"/>
      <c r="E34" s="396"/>
      <c r="F34" s="396"/>
      <c r="G34" s="396"/>
      <c r="H34" s="396"/>
      <c r="I34" s="396"/>
      <c r="J34" s="396"/>
      <c r="K34" s="396"/>
      <c r="L34" s="396"/>
      <c r="M34" s="98"/>
      <c r="N34" s="98"/>
      <c r="O34" s="98"/>
    </row>
    <row r="35" spans="1:15" s="33" customFormat="1" ht="10.15" customHeight="1" x14ac:dyDescent="0.35">
      <c r="D35" s="390"/>
      <c r="E35" s="390"/>
      <c r="F35" s="390"/>
      <c r="G35" s="390"/>
      <c r="H35" s="390"/>
      <c r="I35" s="390"/>
      <c r="J35" s="390"/>
      <c r="K35" s="390"/>
      <c r="L35" s="390"/>
    </row>
    <row r="36" spans="1:15" s="33" customFormat="1" ht="15.5" x14ac:dyDescent="0.35">
      <c r="A36" s="11" t="s">
        <v>140</v>
      </c>
      <c r="D36" s="390"/>
      <c r="E36" s="390"/>
      <c r="F36" s="390"/>
      <c r="G36" s="390"/>
      <c r="H36" s="390"/>
      <c r="I36" s="390"/>
      <c r="J36" s="390"/>
      <c r="K36" s="390"/>
      <c r="L36" s="390"/>
    </row>
    <row r="37" spans="1:15" s="33" customFormat="1" ht="10.15" customHeight="1" x14ac:dyDescent="0.35">
      <c r="D37" s="390"/>
      <c r="E37" s="390"/>
      <c r="F37" s="390"/>
      <c r="G37" s="390"/>
      <c r="H37" s="390"/>
      <c r="I37" s="390"/>
      <c r="J37" s="390"/>
      <c r="K37" s="390"/>
      <c r="L37" s="390"/>
    </row>
    <row r="38" spans="1:15" s="38" customFormat="1" ht="15.5" x14ac:dyDescent="0.35">
      <c r="A38" s="412" t="s">
        <v>190</v>
      </c>
      <c r="B38" s="251"/>
      <c r="C38" s="251"/>
      <c r="D38" s="398" t="s">
        <v>36</v>
      </c>
      <c r="E38" s="398" t="s">
        <v>37</v>
      </c>
      <c r="F38" s="398" t="s">
        <v>40</v>
      </c>
      <c r="G38" s="398" t="s">
        <v>39</v>
      </c>
      <c r="H38" s="398" t="s">
        <v>266</v>
      </c>
      <c r="I38" s="398" t="s">
        <v>267</v>
      </c>
      <c r="J38" s="398" t="s">
        <v>268</v>
      </c>
      <c r="K38" s="398" t="s">
        <v>269</v>
      </c>
      <c r="L38" s="398" t="s">
        <v>270</v>
      </c>
      <c r="M38" s="8"/>
    </row>
    <row r="39" spans="1:15" s="38" customFormat="1" x14ac:dyDescent="0.35">
      <c r="A39" s="251" t="s">
        <v>57</v>
      </c>
      <c r="B39" s="251"/>
      <c r="C39" s="251"/>
      <c r="D39" s="413">
        <f>AVERAGE(D25,D21)</f>
        <v>346.70912067644372</v>
      </c>
      <c r="E39" s="413">
        <f t="shared" ref="E39:L39" si="29">AVERAGE(E25,E21)</f>
        <v>440.59254271608705</v>
      </c>
      <c r="F39" s="413">
        <f t="shared" si="29"/>
        <v>529.50623179930233</v>
      </c>
      <c r="G39" s="413">
        <f t="shared" si="29"/>
        <v>614.6152393682421</v>
      </c>
      <c r="H39" s="413">
        <f t="shared" si="29"/>
        <v>688.3786982446627</v>
      </c>
      <c r="I39" s="413">
        <f t="shared" si="29"/>
        <v>746.61055288741545</v>
      </c>
      <c r="J39" s="413">
        <f t="shared" si="29"/>
        <v>798.4807217789978</v>
      </c>
      <c r="K39" s="413">
        <f t="shared" si="29"/>
        <v>850.07178477525906</v>
      </c>
      <c r="L39" s="413">
        <f t="shared" si="29"/>
        <v>905.06043411995734</v>
      </c>
      <c r="M39" s="8"/>
    </row>
    <row r="40" spans="1:15" s="38" customFormat="1" x14ac:dyDescent="0.35">
      <c r="A40" s="251" t="s">
        <v>42</v>
      </c>
      <c r="B40" s="251"/>
      <c r="C40" s="251"/>
      <c r="D40" s="413">
        <f t="shared" ref="D40:L40" si="30">AVERAGE(D32,D28)</f>
        <v>250.80000000000013</v>
      </c>
      <c r="E40" s="413">
        <f t="shared" si="30"/>
        <v>334.84787634779195</v>
      </c>
      <c r="F40" s="413">
        <f t="shared" si="30"/>
        <v>437.85575639099409</v>
      </c>
      <c r="G40" s="413">
        <f t="shared" si="30"/>
        <v>537.43469087983283</v>
      </c>
      <c r="H40" s="413">
        <f t="shared" si="30"/>
        <v>622.5359394790479</v>
      </c>
      <c r="I40" s="413">
        <f t="shared" si="30"/>
        <v>689.46427099186008</v>
      </c>
      <c r="J40" s="413">
        <f t="shared" si="30"/>
        <v>746.21403145472448</v>
      </c>
      <c r="K40" s="413">
        <f t="shared" si="30"/>
        <v>800.5865861179434</v>
      </c>
      <c r="L40" s="413">
        <f t="shared" si="30"/>
        <v>856.11714520595774</v>
      </c>
      <c r="M40" s="8"/>
    </row>
    <row r="41" spans="1:15" s="38" customFormat="1" x14ac:dyDescent="0.35">
      <c r="A41" s="251" t="s">
        <v>56</v>
      </c>
      <c r="B41" s="251"/>
      <c r="C41" s="251"/>
      <c r="D41" s="413">
        <f>-D31</f>
        <v>8.3014882449254461</v>
      </c>
      <c r="E41" s="413">
        <f t="shared" ref="E41:L41" si="31">-E31</f>
        <v>11.014813567902177</v>
      </c>
      <c r="F41" s="413">
        <f t="shared" si="31"/>
        <v>13.237655794982558</v>
      </c>
      <c r="G41" s="413">
        <f t="shared" si="31"/>
        <v>15.365380984206052</v>
      </c>
      <c r="H41" s="413">
        <f t="shared" si="31"/>
        <v>17.209467456116567</v>
      </c>
      <c r="I41" s="413">
        <f t="shared" si="31"/>
        <v>18.665263822185388</v>
      </c>
      <c r="J41" s="413">
        <f t="shared" si="31"/>
        <v>19.962018044474945</v>
      </c>
      <c r="K41" s="413">
        <f t="shared" si="31"/>
        <v>21.251794619381478</v>
      </c>
      <c r="L41" s="413">
        <f t="shared" si="31"/>
        <v>22.626510852998933</v>
      </c>
      <c r="M41" s="8"/>
    </row>
    <row r="42" spans="1:15" x14ac:dyDescent="0.35">
      <c r="A42" s="251" t="s">
        <v>48</v>
      </c>
      <c r="B42" s="251"/>
      <c r="C42" s="251"/>
      <c r="D42" s="413">
        <f>-D30</f>
        <v>-28.065729904280559</v>
      </c>
      <c r="E42" s="413">
        <f t="shared" ref="E42:L42" si="32">-E30</f>
        <v>-24.536843149967062</v>
      </c>
      <c r="F42" s="413">
        <f t="shared" si="32"/>
        <v>-14.669109745992138</v>
      </c>
      <c r="G42" s="413">
        <f t="shared" si="32"/>
        <v>-18.653365168351669</v>
      </c>
      <c r="H42" s="413">
        <f t="shared" si="32"/>
        <v>-12.497835113012004</v>
      </c>
      <c r="I42" s="413">
        <f t="shared" si="32"/>
        <v>-13.837562433721837</v>
      </c>
      <c r="J42" s="413">
        <f t="shared" si="32"/>
        <v>-14.974159217365584</v>
      </c>
      <c r="K42" s="413">
        <f t="shared" si="32"/>
        <v>-16.063613533220479</v>
      </c>
      <c r="L42" s="413">
        <f t="shared" si="32"/>
        <v>-17.176839616484298</v>
      </c>
    </row>
    <row r="43" spans="1:15" x14ac:dyDescent="0.35">
      <c r="D43" s="390"/>
      <c r="E43" s="390"/>
      <c r="F43" s="390"/>
      <c r="G43" s="390"/>
      <c r="H43" s="390"/>
      <c r="I43" s="390"/>
      <c r="J43" s="390"/>
      <c r="K43" s="390"/>
      <c r="L43" s="390"/>
    </row>
    <row r="44" spans="1:15" x14ac:dyDescent="0.35">
      <c r="D44" s="420"/>
      <c r="E44" s="420"/>
      <c r="F44" s="420"/>
      <c r="G44" s="420"/>
      <c r="H44" s="420"/>
      <c r="I44" s="420"/>
      <c r="J44" s="420"/>
      <c r="K44" s="420"/>
      <c r="L44" s="420"/>
    </row>
    <row r="45" spans="1:15" x14ac:dyDescent="0.35">
      <c r="D45" s="390"/>
      <c r="E45" s="390"/>
      <c r="F45" s="390"/>
      <c r="G45" s="390"/>
      <c r="H45" s="390"/>
      <c r="I45" s="390"/>
      <c r="J45" s="390"/>
      <c r="K45" s="390"/>
      <c r="L45" s="390"/>
    </row>
    <row r="46" spans="1:15" x14ac:dyDescent="0.35">
      <c r="D46" s="390"/>
      <c r="E46" s="390"/>
      <c r="F46" s="390"/>
      <c r="G46" s="390"/>
      <c r="H46" s="390"/>
      <c r="I46" s="390"/>
      <c r="J46" s="390"/>
      <c r="K46" s="390"/>
      <c r="L46" s="390"/>
    </row>
  </sheetData>
  <conditionalFormatting sqref="E26:L26 D33:L33">
    <cfRule type="cellIs" dxfId="3" priority="1" stopIfTrue="1" operator="notEqual">
      <formula>TRUE</formula>
    </cfRule>
  </conditionalFormatting>
  <pageMargins left="0.19685039370078741" right="0.19685039370078741" top="0.39370078740157483" bottom="0.39370078740157483" header="0.19685039370078741" footer="0.19685039370078741"/>
  <pageSetup paperSize="9" scale="70" orientation="landscape" r:id="rId1"/>
  <headerFooter>
    <oddHeader>&amp;L&amp;"Calibri"&amp;11&amp;K000000File: &amp;F Sheet: &amp;A&amp;CPage &amp;P of &amp;N&amp;R&amp;"Calibri"&amp;11&amp;K000000File: &amp;F Sheet: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0EA9-534D-4DAE-9CE6-B7A561733A2C}">
  <sheetPr codeName="Sheet18"/>
  <dimension ref="A1:O53"/>
  <sheetViews>
    <sheetView zoomScaleNormal="100" workbookViewId="0">
      <selection activeCell="D35" sqref="D35"/>
    </sheetView>
  </sheetViews>
  <sheetFormatPr defaultColWidth="8.81640625" defaultRowHeight="14.5" x14ac:dyDescent="0.35"/>
  <cols>
    <col min="1" max="1" width="11.81640625" style="8" customWidth="1"/>
    <col min="2" max="2" width="19" style="8" customWidth="1"/>
    <col min="3" max="3" width="10.7265625" style="8" customWidth="1"/>
    <col min="4" max="10" width="12.1796875" style="8" customWidth="1"/>
    <col min="11" max="12" width="12.1796875" style="195" customWidth="1"/>
    <col min="13" max="13" width="2.1796875" style="8" customWidth="1"/>
    <col min="14" max="14" width="37.7265625" style="8" bestFit="1" customWidth="1"/>
    <col min="15" max="16384" width="8.81640625" style="8"/>
  </cols>
  <sheetData>
    <row r="1" spans="1:14" ht="18.5" x14ac:dyDescent="0.45">
      <c r="A1" s="9" t="s">
        <v>98</v>
      </c>
      <c r="B1" s="9"/>
      <c r="F1" s="241"/>
    </row>
    <row r="2" spans="1:14" ht="7.5" customHeight="1" x14ac:dyDescent="0.35"/>
    <row r="3" spans="1:14" ht="15.5" x14ac:dyDescent="0.35">
      <c r="A3" s="11" t="s">
        <v>192</v>
      </c>
      <c r="B3" s="11"/>
      <c r="C3" s="33"/>
      <c r="D3" s="144" t="str">
        <f>'Input data'!E158</f>
        <v>2022/23</v>
      </c>
      <c r="E3" s="33"/>
      <c r="F3" s="33"/>
      <c r="G3" s="33"/>
      <c r="I3" s="33"/>
      <c r="J3" s="33"/>
      <c r="K3" s="196"/>
      <c r="L3" s="196"/>
      <c r="M3" s="33"/>
      <c r="N3" s="62"/>
    </row>
    <row r="4" spans="1:14" ht="7.5" customHeight="1" x14ac:dyDescent="0.35">
      <c r="A4" s="33"/>
      <c r="B4" s="33"/>
      <c r="C4" s="33"/>
      <c r="D4" s="33"/>
      <c r="E4" s="33"/>
      <c r="F4" s="33"/>
      <c r="G4" s="33"/>
      <c r="H4" s="33"/>
      <c r="I4" s="33"/>
      <c r="J4" s="33"/>
      <c r="K4" s="196"/>
      <c r="L4" s="196"/>
      <c r="M4" s="33"/>
    </row>
    <row r="5" spans="1:14" x14ac:dyDescent="0.35">
      <c r="A5" s="84" t="str">
        <f>'D&amp;C Cost Forecasts'!A6</f>
        <v>Opex</v>
      </c>
      <c r="B5" s="56" t="str">
        <f>'Input data'!A160</f>
        <v>Pay &amp; non-pay costs</v>
      </c>
      <c r="D5" s="407">
        <f>'Input data'!E160 + (SUM('Input data'!E195:E196) * 'Input data'!E160/SUM('Input data'!E42,'Input data'!E160))</f>
        <v>52.691494804147148</v>
      </c>
      <c r="F5" s="53"/>
      <c r="G5" s="53"/>
      <c r="H5" s="53"/>
      <c r="I5" s="53"/>
      <c r="J5" s="53"/>
      <c r="K5" s="53"/>
      <c r="L5" s="53"/>
      <c r="M5" s="53"/>
      <c r="N5" s="62"/>
    </row>
    <row r="6" spans="1:14" x14ac:dyDescent="0.35">
      <c r="A6" s="84"/>
      <c r="B6" s="56" t="str">
        <f>'Input data'!A161</f>
        <v>OCM Dep</v>
      </c>
      <c r="D6" s="407">
        <f>'Input data'!E161</f>
        <v>12.100000000000001</v>
      </c>
      <c r="F6" s="54"/>
      <c r="G6" s="52"/>
      <c r="H6" s="53"/>
      <c r="I6" s="53"/>
      <c r="J6" s="53"/>
      <c r="K6" s="53"/>
      <c r="L6" s="53"/>
      <c r="M6" s="53"/>
    </row>
    <row r="7" spans="1:14" x14ac:dyDescent="0.35">
      <c r="A7" s="84"/>
      <c r="B7" s="56" t="str">
        <f>'Input data'!A162</f>
        <v>HG/L</v>
      </c>
      <c r="D7" s="407">
        <f>'Input data'!E162</f>
        <v>-34.299999999999997</v>
      </c>
      <c r="F7" s="53"/>
      <c r="G7" s="53"/>
      <c r="H7" s="53"/>
      <c r="I7" s="53"/>
      <c r="J7" s="53"/>
      <c r="K7" s="53"/>
      <c r="L7" s="53"/>
      <c r="M7" s="53"/>
      <c r="N7" s="62"/>
    </row>
    <row r="8" spans="1:14" x14ac:dyDescent="0.35">
      <c r="A8" s="84"/>
      <c r="B8" s="56" t="str">
        <f>'Input data'!A163</f>
        <v>Other CCA</v>
      </c>
      <c r="D8" s="407">
        <f>'Input data'!E163</f>
        <v>12.8</v>
      </c>
      <c r="F8" s="53"/>
      <c r="G8" s="53"/>
      <c r="H8" s="53"/>
      <c r="I8" s="53"/>
      <c r="J8" s="53"/>
      <c r="K8" s="53"/>
      <c r="L8" s="53"/>
      <c r="M8" s="53"/>
    </row>
    <row r="9" spans="1:14" x14ac:dyDescent="0.35">
      <c r="A9" s="84"/>
      <c r="B9" s="112" t="str">
        <f>'Input data'!A164</f>
        <v>Other Dep</v>
      </c>
      <c r="C9" s="6"/>
      <c r="D9" s="408">
        <f>'Input data'!E164</f>
        <v>0</v>
      </c>
      <c r="J9" s="53"/>
      <c r="K9" s="53"/>
      <c r="L9" s="53"/>
      <c r="M9" s="53"/>
      <c r="N9" s="65"/>
    </row>
    <row r="10" spans="1:14" x14ac:dyDescent="0.35">
      <c r="A10" s="84"/>
      <c r="B10" s="56" t="str">
        <f>'Input data'!A165</f>
        <v>Total CCA Costs</v>
      </c>
      <c r="D10" s="407">
        <f>SUM(D5:D9)</f>
        <v>43.291494804147149</v>
      </c>
      <c r="F10" s="53"/>
      <c r="G10" s="53"/>
      <c r="H10" s="53"/>
      <c r="I10" s="53"/>
      <c r="J10" s="53"/>
      <c r="K10" s="53"/>
      <c r="L10" s="53"/>
      <c r="M10" s="53"/>
      <c r="N10" s="65"/>
    </row>
    <row r="11" spans="1:14" x14ac:dyDescent="0.35">
      <c r="A11" s="84"/>
      <c r="B11" s="84"/>
      <c r="D11" s="423" t="b">
        <f>D10+'D&amp;C Cost Forecasts'!D11=SUM('Input data'!E195:E196,'Input data'!E165,'Input data'!E47)</f>
        <v>1</v>
      </c>
      <c r="F11" s="53"/>
      <c r="G11" s="53"/>
      <c r="H11" s="53"/>
      <c r="I11" s="53"/>
      <c r="J11" s="53"/>
      <c r="K11" s="53"/>
      <c r="L11" s="53"/>
      <c r="M11" s="53"/>
      <c r="N11" s="65"/>
    </row>
    <row r="12" spans="1:14" x14ac:dyDescent="0.35">
      <c r="A12" s="84"/>
      <c r="B12" s="84"/>
      <c r="D12" s="33"/>
      <c r="F12" s="33"/>
      <c r="G12" s="33"/>
      <c r="H12" s="33"/>
      <c r="I12" s="33"/>
      <c r="J12" s="62"/>
      <c r="K12" s="62"/>
      <c r="L12" s="62"/>
      <c r="M12" s="33"/>
      <c r="N12" s="13"/>
    </row>
    <row r="13" spans="1:14" x14ac:dyDescent="0.35">
      <c r="A13" s="84" t="str">
        <f>'D&amp;C Cost Forecasts'!A14</f>
        <v>MCE</v>
      </c>
      <c r="B13" s="56" t="str">
        <f>'Input data'!A167</f>
        <v>NRC (main COW)</v>
      </c>
      <c r="D13" s="228">
        <f>'Input data'!E167</f>
        <v>250.79999999999998</v>
      </c>
      <c r="F13" s="54"/>
      <c r="G13" s="52"/>
      <c r="M13" s="33"/>
      <c r="N13" s="57"/>
    </row>
    <row r="14" spans="1:14" x14ac:dyDescent="0.35">
      <c r="B14" s="56" t="str">
        <f>'Input data'!A168</f>
        <v>Other COWs</v>
      </c>
      <c r="D14" s="228">
        <f>'Input data'!E168</f>
        <v>49.900000000000013</v>
      </c>
      <c r="M14" s="33"/>
    </row>
    <row r="15" spans="1:14" x14ac:dyDescent="0.35">
      <c r="B15" s="56" t="str">
        <f>'Input data'!A169</f>
        <v>Other non-COW</v>
      </c>
      <c r="D15" s="228">
        <f>'Input data'!E169</f>
        <v>0</v>
      </c>
      <c r="M15" s="33"/>
    </row>
    <row r="16" spans="1:14" x14ac:dyDescent="0.35">
      <c r="A16" s="33"/>
      <c r="B16" s="112" t="str">
        <f>'Input data'!A170</f>
        <v>NCA</v>
      </c>
      <c r="C16" s="6"/>
      <c r="D16" s="406">
        <f>'Input data'!E170</f>
        <v>2.8000000000000029</v>
      </c>
      <c r="M16" s="33"/>
    </row>
    <row r="17" spans="1:14" s="195" customFormat="1" x14ac:dyDescent="0.35">
      <c r="A17" s="196"/>
      <c r="B17" s="56" t="str">
        <f>'Input data'!A171</f>
        <v>Total MCE</v>
      </c>
      <c r="D17" s="228">
        <f>'Input data'!E171</f>
        <v>303.5</v>
      </c>
      <c r="M17" s="196"/>
    </row>
    <row r="18" spans="1:14" x14ac:dyDescent="0.35">
      <c r="A18" s="33"/>
      <c r="B18" s="56"/>
      <c r="D18" s="423" t="b">
        <f>SUM(D13:D16)=D17</f>
        <v>1</v>
      </c>
      <c r="M18" s="33"/>
    </row>
    <row r="19" spans="1:14" ht="7.4" customHeight="1" x14ac:dyDescent="0.35">
      <c r="A19" s="6"/>
      <c r="B19" s="6"/>
      <c r="C19" s="149"/>
      <c r="D19" s="6"/>
      <c r="E19" s="6"/>
      <c r="F19" s="6"/>
      <c r="G19" s="6"/>
      <c r="H19" s="149"/>
      <c r="I19" s="6"/>
      <c r="J19" s="6"/>
      <c r="K19" s="6"/>
      <c r="L19" s="6"/>
      <c r="M19" s="6"/>
      <c r="N19" s="150"/>
    </row>
    <row r="20" spans="1:14" ht="7.4" customHeight="1" x14ac:dyDescent="0.35"/>
    <row r="21" spans="1:14" ht="15.5" x14ac:dyDescent="0.35">
      <c r="A21" s="11" t="s">
        <v>130</v>
      </c>
      <c r="B21" s="11"/>
    </row>
    <row r="22" spans="1:14" ht="7.4" customHeight="1" x14ac:dyDescent="0.35">
      <c r="C22" s="195"/>
      <c r="D22" s="195"/>
    </row>
    <row r="23" spans="1:14" s="38" customFormat="1" x14ac:dyDescent="0.35">
      <c r="A23" s="143"/>
      <c r="B23" s="143"/>
      <c r="C23" s="195"/>
      <c r="D23" s="144" t="s">
        <v>36</v>
      </c>
      <c r="E23" s="144" t="s">
        <v>37</v>
      </c>
      <c r="F23" s="144" t="s">
        <v>40</v>
      </c>
      <c r="G23" s="144" t="s">
        <v>39</v>
      </c>
      <c r="H23" s="144" t="s">
        <v>266</v>
      </c>
      <c r="I23" s="144" t="s">
        <v>267</v>
      </c>
      <c r="J23" s="144" t="s">
        <v>268</v>
      </c>
      <c r="K23" s="144" t="s">
        <v>269</v>
      </c>
      <c r="L23" s="144" t="s">
        <v>270</v>
      </c>
    </row>
    <row r="24" spans="1:14" s="38" customFormat="1" ht="13" x14ac:dyDescent="0.3">
      <c r="A24" s="25" t="str">
        <f>'Parameters and Assumptions'!A36</f>
        <v>PIA Asset Inflation value</v>
      </c>
      <c r="B24" s="25"/>
      <c r="C24" s="26"/>
      <c r="D24" s="248" cm="1">
        <f t="array" ref="D24:L24">asset_inflation</f>
        <v>0.12873938663127604</v>
      </c>
      <c r="E24" s="248">
        <v>7.4787643228200862E-2</v>
      </c>
      <c r="F24" s="248">
        <v>3.3557004069397545E-2</v>
      </c>
      <c r="G24" s="248">
        <v>3.4814649098156014E-2</v>
      </c>
      <c r="H24" s="248">
        <v>0.02</v>
      </c>
      <c r="I24" s="248">
        <v>0.02</v>
      </c>
      <c r="J24" s="248">
        <v>0.02</v>
      </c>
      <c r="K24" s="248">
        <v>0.02</v>
      </c>
      <c r="L24" s="248">
        <v>0.02</v>
      </c>
      <c r="M24" s="20"/>
    </row>
    <row r="25" spans="1:14" s="38" customFormat="1" ht="13" x14ac:dyDescent="0.3">
      <c r="A25" s="25" t="str">
        <f>'Parameters and Assumptions'!A38</f>
        <v>Opex Inflation value</v>
      </c>
      <c r="B25" s="25"/>
      <c r="C25" s="26"/>
      <c r="D25" s="248" cm="1">
        <f t="array" ref="D25:L25">opex_inflation</f>
        <v>0.10036409874522789</v>
      </c>
      <c r="E25" s="248">
        <v>5.6703919580784135E-2</v>
      </c>
      <c r="F25" s="248">
        <v>2.2608687962007545E-2</v>
      </c>
      <c r="G25" s="248">
        <v>2.5861655271887107E-2</v>
      </c>
      <c r="H25" s="248">
        <v>2.1778243527577512E-2</v>
      </c>
      <c r="I25" s="248">
        <v>2.1112015247234828E-2</v>
      </c>
      <c r="J25" s="248">
        <v>2.0605611437519933E-2</v>
      </c>
      <c r="K25" s="248">
        <v>2.0170109706586503E-2</v>
      </c>
      <c r="L25" s="248">
        <v>0.02</v>
      </c>
    </row>
    <row r="26" spans="1:14" s="38" customFormat="1" ht="7.4" customHeight="1" x14ac:dyDescent="0.35">
      <c r="A26" s="129"/>
      <c r="B26" s="129"/>
      <c r="C26" s="129"/>
      <c r="D26" s="129"/>
      <c r="E26" s="129"/>
      <c r="F26" s="129"/>
      <c r="G26" s="129"/>
      <c r="H26" s="129"/>
      <c r="I26" s="50"/>
      <c r="J26" s="50"/>
      <c r="K26" s="50"/>
      <c r="L26" s="50"/>
      <c r="M26" s="8"/>
      <c r="N26" s="8"/>
    </row>
    <row r="27" spans="1:14" s="38" customFormat="1" ht="13" x14ac:dyDescent="0.3">
      <c r="A27" s="143" t="s">
        <v>302</v>
      </c>
      <c r="B27" s="143"/>
      <c r="C27" s="26"/>
      <c r="D27" s="26">
        <f>'Pole volume forecasts'!E15</f>
        <v>4.8214125432883836E-3</v>
      </c>
      <c r="E27" s="26">
        <f>'Pole volume forecasts'!F15</f>
        <v>7.7992381354223816E-3</v>
      </c>
      <c r="F27" s="26">
        <f>'Pole volume forecasts'!G15</f>
        <v>6.9243601626272078E-3</v>
      </c>
      <c r="G27" s="26">
        <f>'Pole volume forecasts'!H15</f>
        <v>6.1911583582821006E-3</v>
      </c>
      <c r="H27" s="26">
        <f>'Pole volume forecasts'!I15</f>
        <v>4.3556250466350033E-3</v>
      </c>
      <c r="I27" s="26">
        <f>'Pole volume forecasts'!J15</f>
        <v>2.5107012963287989E-3</v>
      </c>
      <c r="J27" s="26">
        <f>'Pole volume forecasts'!K15</f>
        <v>2.396046473962743E-3</v>
      </c>
      <c r="K27" s="26">
        <f>'Pole volume forecasts'!L15</f>
        <v>2.8712117698754813E-3</v>
      </c>
      <c r="L27" s="26">
        <f>'Pole volume forecasts'!M15</f>
        <v>0</v>
      </c>
    </row>
    <row r="28" spans="1:14" ht="7.4" customHeight="1" x14ac:dyDescent="0.35">
      <c r="A28" s="6"/>
      <c r="B28" s="6"/>
      <c r="C28" s="149"/>
      <c r="D28" s="6"/>
      <c r="E28" s="6"/>
      <c r="F28" s="6"/>
      <c r="G28" s="6"/>
      <c r="H28" s="149"/>
      <c r="I28" s="6"/>
      <c r="J28" s="6"/>
      <c r="K28" s="6"/>
      <c r="L28" s="6"/>
      <c r="M28" s="6"/>
      <c r="N28" s="150"/>
    </row>
    <row r="29" spans="1:14" ht="7.4" customHeight="1" x14ac:dyDescent="0.35"/>
    <row r="30" spans="1:14" ht="15.5" x14ac:dyDescent="0.35">
      <c r="A30" s="11" t="s">
        <v>141</v>
      </c>
    </row>
    <row r="31" spans="1:14" ht="8.15" customHeight="1" x14ac:dyDescent="0.35">
      <c r="C31" s="195"/>
    </row>
    <row r="32" spans="1:14" x14ac:dyDescent="0.35">
      <c r="A32" s="80" t="s">
        <v>132</v>
      </c>
      <c r="B32" s="33"/>
      <c r="C32" s="195"/>
      <c r="D32" s="144" t="s">
        <v>36</v>
      </c>
      <c r="E32" s="144" t="s">
        <v>37</v>
      </c>
      <c r="F32" s="144" t="s">
        <v>40</v>
      </c>
      <c r="G32" s="144" t="s">
        <v>39</v>
      </c>
      <c r="H32" s="144" t="s">
        <v>266</v>
      </c>
      <c r="I32" s="144" t="s">
        <v>267</v>
      </c>
      <c r="J32" s="144" t="s">
        <v>268</v>
      </c>
      <c r="K32" s="144" t="s">
        <v>269</v>
      </c>
      <c r="L32" s="144" t="s">
        <v>270</v>
      </c>
    </row>
    <row r="33" spans="1:15" s="33" customFormat="1" x14ac:dyDescent="0.35">
      <c r="A33" s="33" t="str">
        <f>B5</f>
        <v>Pay &amp; non-pay costs</v>
      </c>
      <c r="C33" s="195"/>
      <c r="D33" s="63">
        <f>D5</f>
        <v>52.691494804147148</v>
      </c>
      <c r="E33" s="63">
        <f t="shared" ref="E33:L33" si="0">D33*(1+E$25)*(1-Opex_eff)*(1+Opex_CVE*E$27)</f>
        <v>54.320638909221344</v>
      </c>
      <c r="F33" s="63">
        <f t="shared" si="0"/>
        <v>54.158388872021895</v>
      </c>
      <c r="G33" s="63">
        <f t="shared" si="0"/>
        <v>54.13914903005243</v>
      </c>
      <c r="H33" s="63">
        <f t="shared" si="0"/>
        <v>53.831609041557627</v>
      </c>
      <c r="I33" s="63">
        <f t="shared" si="0"/>
        <v>53.418122200577251</v>
      </c>
      <c r="J33" s="63">
        <f t="shared" si="0"/>
        <v>52.977036184364913</v>
      </c>
      <c r="K33" s="63">
        <f t="shared" si="0"/>
        <v>52.535606721839258</v>
      </c>
      <c r="L33" s="63">
        <f t="shared" si="0"/>
        <v>51.978729290587765</v>
      </c>
    </row>
    <row r="34" spans="1:15" s="33" customFormat="1" ht="13" x14ac:dyDescent="0.3">
      <c r="A34" s="33" t="str">
        <f>B6</f>
        <v>OCM Dep</v>
      </c>
      <c r="D34" s="63">
        <f t="shared" ref="D34:D37" si="1">D6</f>
        <v>12.100000000000001</v>
      </c>
      <c r="E34" s="63">
        <f>'Poles main COW Forecasts'!E41</f>
        <v>11.014813567902177</v>
      </c>
      <c r="F34" s="63">
        <f>'Poles main COW Forecasts'!F41</f>
        <v>13.237655794982558</v>
      </c>
      <c r="G34" s="63">
        <f>'Poles main COW Forecasts'!G41</f>
        <v>15.365380984206052</v>
      </c>
      <c r="H34" s="63">
        <f>'Poles main COW Forecasts'!H41</f>
        <v>17.209467456116567</v>
      </c>
      <c r="I34" s="63">
        <f>'Poles main COW Forecasts'!I41</f>
        <v>18.665263822185388</v>
      </c>
      <c r="J34" s="63">
        <f>'Poles main COW Forecasts'!J41</f>
        <v>19.962018044474945</v>
      </c>
      <c r="K34" s="63">
        <f>'Poles main COW Forecasts'!K41</f>
        <v>21.251794619381478</v>
      </c>
      <c r="L34" s="63">
        <f>'Poles main COW Forecasts'!L41</f>
        <v>22.626510852998933</v>
      </c>
    </row>
    <row r="35" spans="1:15" s="33" customFormat="1" ht="13" x14ac:dyDescent="0.3">
      <c r="A35" s="33" t="str">
        <f>B7</f>
        <v>HG/L</v>
      </c>
      <c r="D35" s="63">
        <f t="shared" si="1"/>
        <v>-34.299999999999997</v>
      </c>
      <c r="E35" s="63">
        <f>'Poles main COW Forecasts'!E42</f>
        <v>-24.536843149967062</v>
      </c>
      <c r="F35" s="63">
        <f>'Poles main COW Forecasts'!F42</f>
        <v>-14.669109745992138</v>
      </c>
      <c r="G35" s="63">
        <f>'Poles main COW Forecasts'!G42</f>
        <v>-18.653365168351669</v>
      </c>
      <c r="H35" s="63">
        <f>'Poles main COW Forecasts'!H42</f>
        <v>-12.497835113012004</v>
      </c>
      <c r="I35" s="63">
        <f>'Poles main COW Forecasts'!I42</f>
        <v>-13.837562433721837</v>
      </c>
      <c r="J35" s="63">
        <f>'Poles main COW Forecasts'!J42</f>
        <v>-14.974159217365584</v>
      </c>
      <c r="K35" s="63">
        <f>'Poles main COW Forecasts'!K42</f>
        <v>-16.063613533220479</v>
      </c>
      <c r="L35" s="63">
        <f>'Poles main COW Forecasts'!L42</f>
        <v>-17.176839616484298</v>
      </c>
    </row>
    <row r="36" spans="1:15" s="33" customFormat="1" ht="13" x14ac:dyDescent="0.3">
      <c r="A36" s="33" t="str">
        <f>B8</f>
        <v>Other CCA</v>
      </c>
      <c r="D36" s="58">
        <f t="shared" si="1"/>
        <v>12.8</v>
      </c>
      <c r="E36" s="58">
        <f>D36</f>
        <v>12.8</v>
      </c>
      <c r="F36" s="58">
        <f t="shared" ref="F36:L36" si="2">E36</f>
        <v>12.8</v>
      </c>
      <c r="G36" s="58">
        <f t="shared" si="2"/>
        <v>12.8</v>
      </c>
      <c r="H36" s="58">
        <f t="shared" si="2"/>
        <v>12.8</v>
      </c>
      <c r="I36" s="58">
        <f t="shared" si="2"/>
        <v>12.8</v>
      </c>
      <c r="J36" s="58">
        <f t="shared" si="2"/>
        <v>12.8</v>
      </c>
      <c r="K36" s="58">
        <f t="shared" si="2"/>
        <v>12.8</v>
      </c>
      <c r="L36" s="58">
        <f t="shared" si="2"/>
        <v>12.8</v>
      </c>
      <c r="M36" s="60" t="s">
        <v>215</v>
      </c>
      <c r="N36" s="196"/>
    </row>
    <row r="37" spans="1:15" s="33" customFormat="1" ht="13" x14ac:dyDescent="0.3">
      <c r="A37" s="33" t="str">
        <f>B9</f>
        <v>Other Dep</v>
      </c>
      <c r="D37" s="58">
        <f t="shared" si="1"/>
        <v>0</v>
      </c>
      <c r="E37" s="58">
        <f>D37</f>
        <v>0</v>
      </c>
      <c r="F37" s="58">
        <f t="shared" ref="F37:L37" si="3">E37</f>
        <v>0</v>
      </c>
      <c r="G37" s="58">
        <f t="shared" si="3"/>
        <v>0</v>
      </c>
      <c r="H37" s="58">
        <f t="shared" si="3"/>
        <v>0</v>
      </c>
      <c r="I37" s="58">
        <f t="shared" si="3"/>
        <v>0</v>
      </c>
      <c r="J37" s="58">
        <f t="shared" si="3"/>
        <v>0</v>
      </c>
      <c r="K37" s="58">
        <f t="shared" si="3"/>
        <v>0</v>
      </c>
      <c r="L37" s="58">
        <f t="shared" si="3"/>
        <v>0</v>
      </c>
      <c r="M37" s="213" t="s">
        <v>215</v>
      </c>
    </row>
    <row r="38" spans="1:15" s="33" customFormat="1" ht="13" x14ac:dyDescent="0.3">
      <c r="D38" s="58"/>
      <c r="E38" s="58"/>
      <c r="F38" s="58"/>
      <c r="G38" s="58"/>
      <c r="H38" s="58"/>
      <c r="I38" s="58"/>
      <c r="J38" s="58"/>
      <c r="K38" s="58"/>
      <c r="L38" s="58"/>
      <c r="N38" s="196"/>
    </row>
    <row r="39" spans="1:15" s="33" customFormat="1" ht="13" x14ac:dyDescent="0.3">
      <c r="A39" s="33" t="str">
        <f>B10</f>
        <v>Total CCA Costs</v>
      </c>
      <c r="D39" s="58">
        <f t="shared" ref="D39:L39" si="4">SUM(D33:D37)</f>
        <v>43.291494804147149</v>
      </c>
      <c r="E39" s="58">
        <f t="shared" si="4"/>
        <v>53.598609327156467</v>
      </c>
      <c r="F39" s="58">
        <f t="shared" si="4"/>
        <v>65.526934921012312</v>
      </c>
      <c r="G39" s="58">
        <f t="shared" si="4"/>
        <v>63.651164845906806</v>
      </c>
      <c r="H39" s="58">
        <f t="shared" si="4"/>
        <v>71.343241384662193</v>
      </c>
      <c r="I39" s="58">
        <f t="shared" si="4"/>
        <v>71.045823589040808</v>
      </c>
      <c r="J39" s="58">
        <f t="shared" si="4"/>
        <v>70.76489501147428</v>
      </c>
      <c r="K39" s="58">
        <f t="shared" si="4"/>
        <v>70.523787808000264</v>
      </c>
      <c r="L39" s="58">
        <f t="shared" si="4"/>
        <v>70.228400527102394</v>
      </c>
      <c r="N39" s="196"/>
    </row>
    <row r="40" spans="1:15" x14ac:dyDescent="0.35">
      <c r="C40" s="59"/>
      <c r="D40" s="58"/>
      <c r="E40" s="58"/>
      <c r="F40" s="58"/>
      <c r="G40" s="58"/>
      <c r="H40" s="58"/>
      <c r="I40" s="58"/>
      <c r="J40" s="58"/>
      <c r="K40" s="58"/>
      <c r="L40" s="58"/>
      <c r="O40" s="196"/>
    </row>
    <row r="41" spans="1:15" x14ac:dyDescent="0.35">
      <c r="A41" s="80" t="s">
        <v>133</v>
      </c>
      <c r="B41" s="33"/>
      <c r="C41" s="59"/>
      <c r="D41" s="409" t="s">
        <v>36</v>
      </c>
      <c r="E41" s="409" t="s">
        <v>37</v>
      </c>
      <c r="F41" s="409" t="s">
        <v>40</v>
      </c>
      <c r="G41" s="409" t="s">
        <v>39</v>
      </c>
      <c r="H41" s="409" t="s">
        <v>266</v>
      </c>
      <c r="I41" s="409" t="s">
        <v>267</v>
      </c>
      <c r="J41" s="409" t="s">
        <v>268</v>
      </c>
      <c r="K41" s="409" t="s">
        <v>269</v>
      </c>
      <c r="L41" s="409" t="s">
        <v>270</v>
      </c>
      <c r="N41" s="196"/>
    </row>
    <row r="42" spans="1:15" x14ac:dyDescent="0.35">
      <c r="A42" s="33"/>
      <c r="B42" s="33"/>
      <c r="C42" s="59"/>
      <c r="D42" s="58"/>
      <c r="E42" s="58"/>
      <c r="F42" s="58"/>
      <c r="G42" s="58"/>
      <c r="H42" s="58"/>
      <c r="I42" s="58"/>
      <c r="J42" s="58"/>
      <c r="K42" s="58"/>
      <c r="L42" s="58"/>
      <c r="O42" s="196"/>
    </row>
    <row r="43" spans="1:15" x14ac:dyDescent="0.35">
      <c r="A43" s="33" t="str">
        <f>B13</f>
        <v>NRC (main COW)</v>
      </c>
      <c r="B43" s="33"/>
      <c r="D43" s="58">
        <f>D13</f>
        <v>250.79999999999998</v>
      </c>
      <c r="E43" s="410">
        <f>'Poles main COW Forecasts'!E40</f>
        <v>334.84787634779195</v>
      </c>
      <c r="F43" s="410">
        <f>'Poles main COW Forecasts'!F40</f>
        <v>437.85575639099409</v>
      </c>
      <c r="G43" s="410">
        <f>'Poles main COW Forecasts'!G40</f>
        <v>537.43469087983283</v>
      </c>
      <c r="H43" s="410">
        <f>'Poles main COW Forecasts'!H40</f>
        <v>622.5359394790479</v>
      </c>
      <c r="I43" s="410">
        <f>'Poles main COW Forecasts'!I40</f>
        <v>689.46427099186008</v>
      </c>
      <c r="J43" s="410">
        <f>'Poles main COW Forecasts'!J40</f>
        <v>746.21403145472448</v>
      </c>
      <c r="K43" s="410">
        <f>'Poles main COW Forecasts'!K40</f>
        <v>800.5865861179434</v>
      </c>
      <c r="L43" s="410">
        <f>'Poles main COW Forecasts'!L40</f>
        <v>856.11714520595774</v>
      </c>
      <c r="O43" s="196"/>
    </row>
    <row r="44" spans="1:15" s="33" customFormat="1" ht="13" x14ac:dyDescent="0.3">
      <c r="A44" s="33" t="str">
        <f>B14</f>
        <v>Other COWs</v>
      </c>
      <c r="D44" s="58">
        <f>D14</f>
        <v>49.900000000000013</v>
      </c>
      <c r="E44" s="58">
        <f>$D44</f>
        <v>49.900000000000013</v>
      </c>
      <c r="F44" s="58">
        <f t="shared" ref="F44:L44" si="5">$D44</f>
        <v>49.900000000000013</v>
      </c>
      <c r="G44" s="58">
        <f t="shared" si="5"/>
        <v>49.900000000000013</v>
      </c>
      <c r="H44" s="58">
        <f t="shared" si="5"/>
        <v>49.900000000000013</v>
      </c>
      <c r="I44" s="58">
        <f t="shared" si="5"/>
        <v>49.900000000000013</v>
      </c>
      <c r="J44" s="58">
        <f t="shared" si="5"/>
        <v>49.900000000000013</v>
      </c>
      <c r="K44" s="58">
        <f t="shared" si="5"/>
        <v>49.900000000000013</v>
      </c>
      <c r="L44" s="58">
        <f t="shared" si="5"/>
        <v>49.900000000000013</v>
      </c>
      <c r="M44" s="59"/>
      <c r="N44" s="60" t="s">
        <v>213</v>
      </c>
      <c r="O44" s="196"/>
    </row>
    <row r="45" spans="1:15" s="33" customFormat="1" ht="13" x14ac:dyDescent="0.3">
      <c r="A45" s="33" t="str">
        <f>B15</f>
        <v>Other non-COW</v>
      </c>
      <c r="D45" s="58">
        <f>D15</f>
        <v>0</v>
      </c>
      <c r="E45" s="58">
        <f>$D45</f>
        <v>0</v>
      </c>
      <c r="F45" s="58">
        <f t="shared" ref="F45:J45" si="6">$D45</f>
        <v>0</v>
      </c>
      <c r="G45" s="58">
        <f t="shared" si="6"/>
        <v>0</v>
      </c>
      <c r="H45" s="58">
        <f t="shared" si="6"/>
        <v>0</v>
      </c>
      <c r="I45" s="58">
        <f t="shared" si="6"/>
        <v>0</v>
      </c>
      <c r="J45" s="58">
        <f t="shared" si="6"/>
        <v>0</v>
      </c>
      <c r="K45" s="58"/>
      <c r="L45" s="58"/>
      <c r="M45" s="59"/>
      <c r="N45" s="213" t="s">
        <v>214</v>
      </c>
      <c r="O45" s="196"/>
    </row>
    <row r="46" spans="1:15" s="33" customFormat="1" ht="13" x14ac:dyDescent="0.3">
      <c r="A46" s="196" t="str">
        <f>B16</f>
        <v>NCA</v>
      </c>
      <c r="D46" s="58">
        <f>D16</f>
        <v>2.8000000000000029</v>
      </c>
      <c r="E46" s="58">
        <f t="shared" ref="E46:L46" si="7">D46*(1+D27)*(1+D25)</f>
        <v>3.0958743424366899</v>
      </c>
      <c r="F46" s="58">
        <f t="shared" si="7"/>
        <v>3.2969371557084948</v>
      </c>
      <c r="G46" s="58">
        <f t="shared" si="7"/>
        <v>3.3948218972057536</v>
      </c>
      <c r="H46" s="58">
        <f t="shared" si="7"/>
        <v>3.504179047950676</v>
      </c>
      <c r="I46" s="58">
        <f t="shared" si="7"/>
        <v>3.5960892015863175</v>
      </c>
      <c r="J46" s="58">
        <f t="shared" si="7"/>
        <v>3.6812292116356988</v>
      </c>
      <c r="K46" s="58">
        <f t="shared" si="7"/>
        <v>3.766085336313814</v>
      </c>
      <c r="L46" s="58">
        <f t="shared" si="7"/>
        <v>3.8530790232616243</v>
      </c>
      <c r="N46" s="196"/>
      <c r="O46" s="196"/>
    </row>
    <row r="47" spans="1:15" s="196" customFormat="1" ht="13" x14ac:dyDescent="0.3">
      <c r="D47" s="63"/>
      <c r="E47" s="63"/>
      <c r="F47" s="63"/>
      <c r="G47" s="63"/>
      <c r="H47" s="63"/>
      <c r="I47" s="63"/>
      <c r="J47" s="63"/>
      <c r="K47" s="63"/>
      <c r="L47" s="63"/>
    </row>
    <row r="48" spans="1:15" s="33" customFormat="1" ht="13" x14ac:dyDescent="0.3">
      <c r="A48" s="33" t="str">
        <f>B17</f>
        <v>Total MCE</v>
      </c>
      <c r="D48" s="63">
        <f>SUM(D43:D46)</f>
        <v>303.5</v>
      </c>
      <c r="E48" s="63">
        <f t="shared" ref="E48:L48" si="8">SUM(E43:E46)</f>
        <v>387.84375069022866</v>
      </c>
      <c r="F48" s="63">
        <f t="shared" si="8"/>
        <v>491.05269354670264</v>
      </c>
      <c r="G48" s="63">
        <f t="shared" si="8"/>
        <v>590.72951277703851</v>
      </c>
      <c r="H48" s="63">
        <f t="shared" si="8"/>
        <v>675.9401185269985</v>
      </c>
      <c r="I48" s="63">
        <f t="shared" si="8"/>
        <v>742.96036019344638</v>
      </c>
      <c r="J48" s="63">
        <f t="shared" si="8"/>
        <v>799.79526066636015</v>
      </c>
      <c r="K48" s="63">
        <f t="shared" si="8"/>
        <v>854.25267145425721</v>
      </c>
      <c r="L48" s="63">
        <f t="shared" si="8"/>
        <v>909.87022422921939</v>
      </c>
      <c r="M48" s="54"/>
    </row>
    <row r="49" spans="1:14" ht="8.65" customHeight="1" thickBot="1" x14ac:dyDescent="0.4">
      <c r="A49" s="2"/>
      <c r="B49" s="2"/>
      <c r="C49" s="2"/>
      <c r="D49" s="411"/>
      <c r="E49" s="411"/>
      <c r="F49" s="411"/>
      <c r="G49" s="411"/>
      <c r="H49" s="411"/>
      <c r="I49" s="411"/>
      <c r="J49" s="411"/>
      <c r="K49" s="411"/>
      <c r="L49" s="411"/>
      <c r="M49" s="2"/>
      <c r="N49" s="2"/>
    </row>
    <row r="50" spans="1:14" ht="8.65" customHeight="1" x14ac:dyDescent="0.35">
      <c r="D50" s="64"/>
      <c r="E50" s="64"/>
      <c r="F50" s="64"/>
      <c r="G50" s="64"/>
      <c r="H50" s="64"/>
      <c r="I50" s="64"/>
      <c r="J50" s="64"/>
      <c r="K50" s="64"/>
      <c r="L50" s="64"/>
    </row>
    <row r="51" spans="1:14" ht="15.5" x14ac:dyDescent="0.35">
      <c r="A51" s="385" t="s">
        <v>135</v>
      </c>
      <c r="B51" s="241"/>
      <c r="C51" s="241"/>
      <c r="D51" s="409" t="s">
        <v>36</v>
      </c>
      <c r="E51" s="409" t="s">
        <v>37</v>
      </c>
      <c r="F51" s="409" t="s">
        <v>40</v>
      </c>
      <c r="G51" s="409" t="s">
        <v>39</v>
      </c>
      <c r="H51" s="409" t="s">
        <v>266</v>
      </c>
      <c r="I51" s="409" t="s">
        <v>267</v>
      </c>
      <c r="J51" s="409" t="s">
        <v>268</v>
      </c>
      <c r="K51" s="409" t="s">
        <v>269</v>
      </c>
      <c r="L51" s="409" t="s">
        <v>270</v>
      </c>
    </row>
    <row r="52" spans="1:14" x14ac:dyDescent="0.35">
      <c r="A52" s="130" t="s">
        <v>71</v>
      </c>
      <c r="B52" s="130" t="str">
        <f>A39</f>
        <v>Total CCA Costs</v>
      </c>
      <c r="C52" s="241"/>
      <c r="D52" s="140">
        <f t="shared" ref="D52:L52" si="9">D39</f>
        <v>43.291494804147149</v>
      </c>
      <c r="E52" s="140">
        <f t="shared" si="9"/>
        <v>53.598609327156467</v>
      </c>
      <c r="F52" s="140">
        <f t="shared" si="9"/>
        <v>65.526934921012312</v>
      </c>
      <c r="G52" s="140">
        <f t="shared" si="9"/>
        <v>63.651164845906806</v>
      </c>
      <c r="H52" s="140">
        <f t="shared" si="9"/>
        <v>71.343241384662193</v>
      </c>
      <c r="I52" s="140">
        <f t="shared" si="9"/>
        <v>71.045823589040808</v>
      </c>
      <c r="J52" s="140">
        <f t="shared" si="9"/>
        <v>70.76489501147428</v>
      </c>
      <c r="K52" s="140">
        <f t="shared" si="9"/>
        <v>70.523787808000264</v>
      </c>
      <c r="L52" s="140">
        <f t="shared" si="9"/>
        <v>70.228400527102394</v>
      </c>
    </row>
    <row r="53" spans="1:14" x14ac:dyDescent="0.35">
      <c r="A53" s="130"/>
      <c r="B53" s="130" t="str">
        <f>A48</f>
        <v>Total MCE</v>
      </c>
      <c r="C53" s="241"/>
      <c r="D53" s="140">
        <f>D48</f>
        <v>303.5</v>
      </c>
      <c r="E53" s="140">
        <f t="shared" ref="E53:L53" si="10">E48</f>
        <v>387.84375069022866</v>
      </c>
      <c r="F53" s="140">
        <f t="shared" si="10"/>
        <v>491.05269354670264</v>
      </c>
      <c r="G53" s="140">
        <f t="shared" si="10"/>
        <v>590.72951277703851</v>
      </c>
      <c r="H53" s="140">
        <f t="shared" si="10"/>
        <v>675.9401185269985</v>
      </c>
      <c r="I53" s="140">
        <f t="shared" si="10"/>
        <v>742.96036019344638</v>
      </c>
      <c r="J53" s="140">
        <f t="shared" si="10"/>
        <v>799.79526066636015</v>
      </c>
      <c r="K53" s="140">
        <f t="shared" si="10"/>
        <v>854.25267145425721</v>
      </c>
      <c r="L53" s="140">
        <f t="shared" si="10"/>
        <v>909.87022422921939</v>
      </c>
    </row>
  </sheetData>
  <phoneticPr fontId="51" type="noConversion"/>
  <conditionalFormatting sqref="D11 D18">
    <cfRule type="cellIs" dxfId="2" priority="1" stopIfTrue="1" operator="notEqual">
      <formula>TRUE</formula>
    </cfRule>
  </conditionalFormatting>
  <printOptions horizontalCentered="1" verticalCentered="1"/>
  <pageMargins left="0.19685039370078741" right="0.19685039370078741" top="0.39370078740157483" bottom="0.31496062992125984" header="0.19685039370078741" footer="0.19685039370078741"/>
  <pageSetup paperSize="9" scale="70" orientation="landscape" r:id="rId1"/>
  <headerFooter>
    <oddHeader>&amp;L&amp;"Calibri"&amp;11&amp;K000000File: &amp;F Sheet: &amp;A&amp;CPage &amp;P of &amp;N&amp;R&amp;"Calibri"&amp;11&amp;K000000File: &amp;F Sheet: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D0D8-5C13-462C-957B-7E48C12377EF}">
  <sheetPr codeName="Sheet19"/>
  <dimension ref="A1:R125"/>
  <sheetViews>
    <sheetView showGridLines="0" zoomScale="85" zoomScaleNormal="85" workbookViewId="0">
      <selection activeCell="O75" sqref="O74:O75"/>
    </sheetView>
  </sheetViews>
  <sheetFormatPr defaultColWidth="8.81640625" defaultRowHeight="14.5" outlineLevelRow="1" x14ac:dyDescent="0.35"/>
  <cols>
    <col min="1" max="1" width="3.1796875" style="8" customWidth="1"/>
    <col min="2" max="2" width="13" style="8" customWidth="1"/>
    <col min="3" max="3" width="43.26953125" style="8" bestFit="1" customWidth="1"/>
    <col min="4" max="5" width="17.7265625" style="8" bestFit="1" customWidth="1"/>
    <col min="6" max="9" width="12" style="8" customWidth="1"/>
    <col min="10" max="10" width="13.26953125" style="8" customWidth="1"/>
    <col min="11" max="11" width="13.7265625" style="8" customWidth="1"/>
    <col min="12" max="12" width="13.7265625" style="195" customWidth="1"/>
    <col min="13" max="13" width="2.453125" style="8" customWidth="1"/>
    <col min="14" max="14" width="15.453125" style="8" customWidth="1"/>
    <col min="15" max="15" width="14.54296875" style="8" customWidth="1"/>
    <col min="16" max="16384" width="8.81640625" style="8"/>
  </cols>
  <sheetData>
    <row r="1" spans="1:15" ht="21" x14ac:dyDescent="0.5">
      <c r="A1" s="100" t="s">
        <v>184</v>
      </c>
    </row>
    <row r="2" spans="1:15" ht="9" customHeight="1" x14ac:dyDescent="0.35">
      <c r="N2" s="195"/>
    </row>
    <row r="3" spans="1:15" s="33" customFormat="1" ht="15.5" x14ac:dyDescent="0.35">
      <c r="A3" s="11" t="s">
        <v>155</v>
      </c>
      <c r="D3" s="409" t="s">
        <v>36</v>
      </c>
      <c r="E3" s="409" t="s">
        <v>37</v>
      </c>
      <c r="F3" s="409" t="s">
        <v>40</v>
      </c>
      <c r="G3" s="409" t="s">
        <v>39</v>
      </c>
      <c r="H3" s="409" t="s">
        <v>266</v>
      </c>
      <c r="I3" s="409" t="s">
        <v>267</v>
      </c>
      <c r="J3" s="409" t="s">
        <v>268</v>
      </c>
      <c r="K3" s="409" t="s">
        <v>269</v>
      </c>
      <c r="L3" s="409" t="s">
        <v>270</v>
      </c>
      <c r="N3" s="195"/>
      <c r="O3" s="34" t="s">
        <v>41</v>
      </c>
    </row>
    <row r="4" spans="1:15" s="33" customFormat="1" ht="9" customHeight="1" x14ac:dyDescent="0.35">
      <c r="L4" s="196"/>
      <c r="N4" s="195"/>
    </row>
    <row r="5" spans="1:15" s="33" customFormat="1" x14ac:dyDescent="0.35">
      <c r="B5" s="33" t="str">
        <f>'Poles costs forecasts'!B52</f>
        <v>Total CCA Costs</v>
      </c>
      <c r="C5" s="69"/>
      <c r="D5" s="61">
        <f>'Poles costs forecasts'!D52</f>
        <v>43.291494804147149</v>
      </c>
      <c r="E5" s="61">
        <f>'Poles costs forecasts'!E52</f>
        <v>53.598609327156467</v>
      </c>
      <c r="F5" s="61">
        <f>'Poles costs forecasts'!F52</f>
        <v>65.526934921012312</v>
      </c>
      <c r="G5" s="61">
        <f>'Poles costs forecasts'!G52</f>
        <v>63.651164845906806</v>
      </c>
      <c r="H5" s="61">
        <f>'Poles costs forecasts'!H52</f>
        <v>71.343241384662193</v>
      </c>
      <c r="I5" s="61">
        <f>'Poles costs forecasts'!I52</f>
        <v>71.045823589040808</v>
      </c>
      <c r="J5" s="61">
        <f>'Poles costs forecasts'!J52</f>
        <v>70.76489501147428</v>
      </c>
      <c r="K5" s="61">
        <f>'Poles costs forecasts'!K52</f>
        <v>70.523787808000264</v>
      </c>
      <c r="L5" s="61">
        <f>'Poles costs forecasts'!L52</f>
        <v>70.228400527102394</v>
      </c>
      <c r="N5" s="195"/>
    </row>
    <row r="6" spans="1:15" s="33" customFormat="1" x14ac:dyDescent="0.35">
      <c r="B6" s="196" t="str">
        <f>'Poles costs forecasts'!B53</f>
        <v>Total MCE</v>
      </c>
      <c r="C6" s="69"/>
      <c r="D6" s="61">
        <f>'Poles costs forecasts'!D53</f>
        <v>303.5</v>
      </c>
      <c r="E6" s="61">
        <f>'Poles costs forecasts'!E53</f>
        <v>387.84375069022866</v>
      </c>
      <c r="F6" s="61">
        <f>'Poles costs forecasts'!F53</f>
        <v>491.05269354670264</v>
      </c>
      <c r="G6" s="61">
        <f>'Poles costs forecasts'!G53</f>
        <v>590.72951277703851</v>
      </c>
      <c r="H6" s="61">
        <f>'Poles costs forecasts'!H53</f>
        <v>675.9401185269985</v>
      </c>
      <c r="I6" s="61">
        <f>'Poles costs forecasts'!I53</f>
        <v>742.96036019344638</v>
      </c>
      <c r="J6" s="61">
        <f>'Poles costs forecasts'!J53</f>
        <v>799.79526066636015</v>
      </c>
      <c r="K6" s="61">
        <f>'Poles costs forecasts'!K53</f>
        <v>854.25267145425721</v>
      </c>
      <c r="L6" s="61">
        <f>'Poles costs forecasts'!L53</f>
        <v>909.87022422921939</v>
      </c>
      <c r="N6" s="195"/>
    </row>
    <row r="7" spans="1:15" s="33" customFormat="1" ht="13" x14ac:dyDescent="0.3">
      <c r="C7" s="69"/>
      <c r="D7" s="101"/>
      <c r="E7" s="101"/>
      <c r="F7" s="101"/>
      <c r="G7" s="101"/>
      <c r="H7" s="101"/>
      <c r="I7" s="101"/>
      <c r="J7" s="101"/>
      <c r="L7" s="196"/>
    </row>
    <row r="8" spans="1:15" s="33" customFormat="1" ht="13" x14ac:dyDescent="0.3">
      <c r="B8" s="33" t="s">
        <v>26</v>
      </c>
      <c r="C8" s="69"/>
      <c r="D8" s="49">
        <f>'Pole volume forecasts'!D14</f>
        <v>4114415.5</v>
      </c>
      <c r="E8" s="49">
        <f>'Pole volume forecasts'!E14</f>
        <v>4134252.7944999998</v>
      </c>
      <c r="F8" s="49">
        <f>'Pole volume forecasts'!F14</f>
        <v>4166496.816556341</v>
      </c>
      <c r="G8" s="49">
        <f>'Pole volume forecasts'!G14</f>
        <v>4195347.1411306169</v>
      </c>
      <c r="H8" s="49">
        <f>'Pole volume forecasts'!H14</f>
        <v>4221321.1996493228</v>
      </c>
      <c r="I8" s="49">
        <f>'Pole volume forecasts'!I14</f>
        <v>4239707.6919964068</v>
      </c>
      <c r="J8" s="49">
        <f>'Pole volume forecasts'!J14</f>
        <v>4250352.3315947577</v>
      </c>
      <c r="K8" s="49">
        <f>'Pole volume forecasts'!K14</f>
        <v>4260536.373311975</v>
      </c>
      <c r="L8" s="49">
        <f>'Pole volume forecasts'!L14</f>
        <v>4272769.2754930109</v>
      </c>
      <c r="M8" s="49"/>
      <c r="N8" s="49"/>
    </row>
    <row r="9" spans="1:15" s="33" customFormat="1" ht="13" x14ac:dyDescent="0.3">
      <c r="C9" s="69"/>
      <c r="L9" s="196"/>
    </row>
    <row r="10" spans="1:15" s="33" customFormat="1" ht="13" x14ac:dyDescent="0.3">
      <c r="B10" s="33" t="s">
        <v>2</v>
      </c>
      <c r="C10" s="69"/>
      <c r="D10" s="67">
        <f>'Parameters and Assumptions'!D4</f>
        <v>7.0999999999999994E-2</v>
      </c>
      <c r="E10" s="67">
        <f>'Parameters and Assumptions'!E4</f>
        <v>7.0999999999999994E-2</v>
      </c>
      <c r="F10" s="67">
        <f>'Parameters and Assumptions'!F4</f>
        <v>7.0999999999999994E-2</v>
      </c>
      <c r="G10" s="67">
        <f>'Parameters and Assumptions'!G4</f>
        <v>7.0999999999999994E-2</v>
      </c>
      <c r="H10" s="67">
        <f>'Parameters and Assumptions'!H4</f>
        <v>7.0999999999999994E-2</v>
      </c>
      <c r="I10" s="67">
        <f>'Parameters and Assumptions'!I4</f>
        <v>7.0999999999999994E-2</v>
      </c>
      <c r="J10" s="67">
        <f>'Parameters and Assumptions'!J4</f>
        <v>7.0999999999999994E-2</v>
      </c>
      <c r="K10" s="67">
        <f>'Parameters and Assumptions'!K4</f>
        <v>7.0999999999999994E-2</v>
      </c>
      <c r="L10" s="67">
        <f>'Parameters and Assumptions'!L4</f>
        <v>7.0999999999999994E-2</v>
      </c>
    </row>
    <row r="11" spans="1:15" s="33" customFormat="1" ht="13" x14ac:dyDescent="0.3">
      <c r="C11" s="69"/>
      <c r="D11" s="67"/>
      <c r="E11" s="67"/>
      <c r="F11" s="67"/>
      <c r="G11" s="67"/>
      <c r="H11" s="67"/>
      <c r="I11" s="67"/>
      <c r="J11" s="67"/>
      <c r="L11" s="196"/>
    </row>
    <row r="12" spans="1:15" s="33" customFormat="1" ht="13" x14ac:dyDescent="0.3">
      <c r="B12" s="33" t="str">
        <f>'Parameters and Assumptions'!C22</f>
        <v>Attachment costs</v>
      </c>
      <c r="D12" s="105">
        <f>'Parameters and Assumptions'!D22</f>
        <v>1</v>
      </c>
      <c r="E12" s="105">
        <f>D12</f>
        <v>1</v>
      </c>
      <c r="F12" s="105">
        <f t="shared" ref="F12:L12" si="0">E12</f>
        <v>1</v>
      </c>
      <c r="G12" s="105">
        <f t="shared" si="0"/>
        <v>1</v>
      </c>
      <c r="H12" s="105">
        <f t="shared" si="0"/>
        <v>1</v>
      </c>
      <c r="I12" s="105">
        <f t="shared" si="0"/>
        <v>1</v>
      </c>
      <c r="J12" s="105">
        <f t="shared" si="0"/>
        <v>1</v>
      </c>
      <c r="K12" s="105">
        <f t="shared" si="0"/>
        <v>1</v>
      </c>
      <c r="L12" s="105">
        <f t="shared" si="0"/>
        <v>1</v>
      </c>
      <c r="N12" s="196"/>
      <c r="O12" s="60" t="s">
        <v>175</v>
      </c>
    </row>
    <row r="13" spans="1:15" s="33" customFormat="1" ht="13" x14ac:dyDescent="0.3">
      <c r="B13" s="196" t="str">
        <f>'Parameters and Assumptions'!C23</f>
        <v>Manifold costs</v>
      </c>
      <c r="D13" s="105">
        <f>'Parameters and Assumptions'!D23</f>
        <v>0</v>
      </c>
      <c r="E13" s="105">
        <f t="shared" ref="E13:L14" si="1">D13</f>
        <v>0</v>
      </c>
      <c r="F13" s="105">
        <f t="shared" si="1"/>
        <v>0</v>
      </c>
      <c r="G13" s="105">
        <f t="shared" si="1"/>
        <v>0</v>
      </c>
      <c r="H13" s="105">
        <f t="shared" si="1"/>
        <v>0</v>
      </c>
      <c r="I13" s="105">
        <f t="shared" si="1"/>
        <v>0</v>
      </c>
      <c r="J13" s="105">
        <f t="shared" si="1"/>
        <v>0</v>
      </c>
      <c r="K13" s="105">
        <f t="shared" si="1"/>
        <v>0</v>
      </c>
      <c r="L13" s="105">
        <f t="shared" si="1"/>
        <v>0</v>
      </c>
      <c r="N13" s="196"/>
      <c r="O13" s="60" t="s">
        <v>175</v>
      </c>
    </row>
    <row r="14" spans="1:15" s="33" customFormat="1" ht="13" x14ac:dyDescent="0.3">
      <c r="B14" s="196" t="str">
        <f>'Parameters and Assumptions'!C24</f>
        <v>Cables up poles costs</v>
      </c>
      <c r="D14" s="105">
        <f>'Parameters and Assumptions'!D24</f>
        <v>0</v>
      </c>
      <c r="E14" s="105">
        <f t="shared" si="1"/>
        <v>0</v>
      </c>
      <c r="F14" s="105">
        <f t="shared" si="1"/>
        <v>0</v>
      </c>
      <c r="G14" s="105">
        <f t="shared" si="1"/>
        <v>0</v>
      </c>
      <c r="H14" s="105">
        <f t="shared" si="1"/>
        <v>0</v>
      </c>
      <c r="I14" s="105">
        <f t="shared" si="1"/>
        <v>0</v>
      </c>
      <c r="J14" s="105">
        <f t="shared" si="1"/>
        <v>0</v>
      </c>
      <c r="K14" s="105">
        <f t="shared" si="1"/>
        <v>0</v>
      </c>
      <c r="L14" s="105">
        <f t="shared" si="1"/>
        <v>0</v>
      </c>
      <c r="N14" s="196"/>
      <c r="O14" s="60" t="s">
        <v>175</v>
      </c>
    </row>
    <row r="15" spans="1:15" s="33" customFormat="1" ht="13" x14ac:dyDescent="0.3">
      <c r="D15" s="67"/>
      <c r="L15" s="196"/>
      <c r="N15" s="196"/>
    </row>
    <row r="16" spans="1:15" s="3" customFormat="1" ht="26" x14ac:dyDescent="0.35">
      <c r="B16" s="107" t="s">
        <v>72</v>
      </c>
      <c r="C16" s="176"/>
      <c r="D16" s="184" t="str">
        <f>'Input data'!F4</f>
        <v>Published 01/04/2022</v>
      </c>
      <c r="E16" s="184" t="str">
        <f>'Input data'!G4</f>
        <v>Published 01/04/2023</v>
      </c>
      <c r="F16" s="184" t="str">
        <f>'Input data'!H4</f>
        <v>Published 01/04/2024</v>
      </c>
      <c r="G16" s="184" t="str">
        <f>'Input data'!I4</f>
        <v>Published 01/04/2025</v>
      </c>
      <c r="H16" s="75"/>
      <c r="I16" s="4"/>
      <c r="J16" s="4"/>
      <c r="K16" s="4"/>
      <c r="L16" s="4"/>
    </row>
    <row r="17" spans="1:15" x14ac:dyDescent="0.35">
      <c r="B17" s="85" t="str">
        <f>'Input data'!A13</f>
        <v>Facility on pole for Multi-end-user attachment</v>
      </c>
      <c r="C17" s="55"/>
      <c r="D17" s="86">
        <f>'Input data'!F13</f>
        <v>5.65</v>
      </c>
      <c r="E17" s="86">
        <f>'Input data'!G13</f>
        <v>6.29</v>
      </c>
      <c r="F17" s="86">
        <f>'Input data'!H13</f>
        <v>6.6</v>
      </c>
      <c r="G17" s="86">
        <f>'Input data'!I13</f>
        <v>6.77</v>
      </c>
      <c r="H17" s="33"/>
      <c r="I17" s="7"/>
      <c r="J17" s="7"/>
      <c r="K17" s="7"/>
      <c r="L17" s="7"/>
      <c r="N17" s="195"/>
    </row>
    <row r="18" spans="1:15" x14ac:dyDescent="0.35">
      <c r="B18" s="85" t="str">
        <f>'Input data'!A14</f>
        <v>Facility on pole for Single-end-user attachment</v>
      </c>
      <c r="C18" s="55"/>
      <c r="D18" s="86">
        <f>'Input data'!F14</f>
        <v>2.21</v>
      </c>
      <c r="E18" s="86">
        <f>'Input data'!G14</f>
        <v>2.46</v>
      </c>
      <c r="F18" s="86">
        <f>'Input data'!H14</f>
        <v>2.58</v>
      </c>
      <c r="G18" s="86">
        <f>'Input data'!I14</f>
        <v>2.64</v>
      </c>
      <c r="H18" s="33"/>
      <c r="I18" s="7"/>
      <c r="J18" s="7"/>
      <c r="K18" s="7"/>
      <c r="L18" s="7"/>
      <c r="N18" s="195"/>
    </row>
    <row r="19" spans="1:15" x14ac:dyDescent="0.35">
      <c r="B19" s="85" t="str">
        <f>'Input data'!A15</f>
        <v>Pole top equipment</v>
      </c>
      <c r="C19" s="55"/>
      <c r="D19" s="86">
        <f>'Input data'!F15</f>
        <v>1.66</v>
      </c>
      <c r="E19" s="86">
        <f>'Input data'!G15</f>
        <v>1.85</v>
      </c>
      <c r="F19" s="86">
        <f>'Input data'!H15</f>
        <v>1.94</v>
      </c>
      <c r="G19" s="86">
        <f>'Input data'!I15</f>
        <v>1.98</v>
      </c>
      <c r="H19" s="33"/>
      <c r="I19" s="7"/>
      <c r="J19" s="7"/>
      <c r="K19" s="7"/>
      <c r="L19" s="7"/>
      <c r="N19" s="195"/>
    </row>
    <row r="20" spans="1:15" x14ac:dyDescent="0.35">
      <c r="B20" s="85" t="str">
        <f>'Input data'!A16</f>
        <v>Cable up a pole (per cable)</v>
      </c>
      <c r="C20" s="55"/>
      <c r="D20" s="86">
        <f>'Input data'!F16</f>
        <v>1.1000000000000001</v>
      </c>
      <c r="E20" s="86">
        <f>'Input data'!G16</f>
        <v>1.23</v>
      </c>
      <c r="F20" s="86">
        <f>'Input data'!H16</f>
        <v>1.29</v>
      </c>
      <c r="G20" s="86">
        <f>'Input data'!I16</f>
        <v>1.32</v>
      </c>
      <c r="H20" s="33"/>
      <c r="I20" s="7"/>
      <c r="J20" s="7"/>
      <c r="K20" s="7"/>
      <c r="L20" s="7"/>
      <c r="N20" s="195"/>
    </row>
    <row r="21" spans="1:15" ht="9" customHeight="1" thickBot="1" x14ac:dyDescent="0.4">
      <c r="A21" s="2"/>
      <c r="B21" s="2"/>
      <c r="C21" s="174"/>
      <c r="D21" s="174"/>
      <c r="E21" s="174"/>
      <c r="F21" s="174"/>
      <c r="G21" s="174"/>
      <c r="H21" s="174"/>
      <c r="I21" s="174"/>
      <c r="J21" s="174"/>
      <c r="K21" s="174"/>
      <c r="L21" s="174"/>
      <c r="M21" s="174"/>
      <c r="N21" s="174"/>
      <c r="O21" s="174"/>
    </row>
    <row r="22" spans="1:15" ht="9" customHeight="1" x14ac:dyDescent="0.35"/>
    <row r="23" spans="1:15" ht="15.5" x14ac:dyDescent="0.35">
      <c r="A23" s="11" t="s">
        <v>143</v>
      </c>
      <c r="D23" s="409" t="s">
        <v>36</v>
      </c>
      <c r="E23" s="409" t="s">
        <v>37</v>
      </c>
      <c r="F23" s="409" t="s">
        <v>40</v>
      </c>
      <c r="G23" s="409" t="s">
        <v>39</v>
      </c>
      <c r="H23" s="409" t="s">
        <v>266</v>
      </c>
      <c r="I23" s="409" t="s">
        <v>267</v>
      </c>
      <c r="J23" s="409" t="s">
        <v>268</v>
      </c>
      <c r="K23" s="409" t="s">
        <v>269</v>
      </c>
      <c r="L23" s="409" t="s">
        <v>270</v>
      </c>
      <c r="M23" s="195"/>
      <c r="N23" s="195"/>
    </row>
    <row r="24" spans="1:15" s="33" customFormat="1" ht="9" customHeight="1" x14ac:dyDescent="0.3">
      <c r="L24" s="196"/>
      <c r="M24" s="196"/>
      <c r="N24" s="196"/>
    </row>
    <row r="25" spans="1:15" s="33" customFormat="1" ht="13" x14ac:dyDescent="0.3">
      <c r="B25" s="33" t="s">
        <v>3</v>
      </c>
      <c r="C25" s="69"/>
      <c r="D25" s="102">
        <f>D5+D6*D$10</f>
        <v>64.839994804147153</v>
      </c>
      <c r="E25" s="102">
        <f t="shared" ref="E25:L25" si="2">E5+E6*E$10</f>
        <v>81.1355156261627</v>
      </c>
      <c r="F25" s="102">
        <f t="shared" si="2"/>
        <v>100.39167616282819</v>
      </c>
      <c r="G25" s="102">
        <f t="shared" si="2"/>
        <v>105.59296025307654</v>
      </c>
      <c r="H25" s="102">
        <f t="shared" si="2"/>
        <v>119.33498980007909</v>
      </c>
      <c r="I25" s="102">
        <f t="shared" si="2"/>
        <v>123.7960091627755</v>
      </c>
      <c r="J25" s="102">
        <f t="shared" si="2"/>
        <v>127.55035851878586</v>
      </c>
      <c r="K25" s="102">
        <f t="shared" si="2"/>
        <v>131.17572748125252</v>
      </c>
      <c r="L25" s="102">
        <f t="shared" si="2"/>
        <v>134.82918644737697</v>
      </c>
      <c r="M25" s="196"/>
      <c r="N25" s="196"/>
    </row>
    <row r="26" spans="1:15" s="33" customFormat="1" ht="9" customHeight="1" x14ac:dyDescent="0.3">
      <c r="C26" s="69"/>
      <c r="D26" s="102"/>
      <c r="E26" s="102"/>
      <c r="F26" s="102"/>
      <c r="G26" s="102"/>
      <c r="H26" s="102"/>
      <c r="I26" s="102"/>
      <c r="J26" s="102"/>
      <c r="K26" s="102"/>
      <c r="L26" s="102"/>
      <c r="M26" s="196"/>
      <c r="N26" s="196"/>
    </row>
    <row r="27" spans="1:15" s="33" customFormat="1" ht="13" x14ac:dyDescent="0.3">
      <c r="B27" s="33" t="s">
        <v>84</v>
      </c>
      <c r="C27" s="69" t="str">
        <f>B12</f>
        <v>Attachment costs</v>
      </c>
      <c r="D27" s="102">
        <f>D$25*D12</f>
        <v>64.839994804147153</v>
      </c>
      <c r="E27" s="102">
        <f t="shared" ref="E27:L27" si="3">E$25*E12</f>
        <v>81.1355156261627</v>
      </c>
      <c r="F27" s="102">
        <f t="shared" si="3"/>
        <v>100.39167616282819</v>
      </c>
      <c r="G27" s="102">
        <f t="shared" si="3"/>
        <v>105.59296025307654</v>
      </c>
      <c r="H27" s="102">
        <f t="shared" si="3"/>
        <v>119.33498980007909</v>
      </c>
      <c r="I27" s="102">
        <f t="shared" si="3"/>
        <v>123.7960091627755</v>
      </c>
      <c r="J27" s="102">
        <f t="shared" si="3"/>
        <v>127.55035851878586</v>
      </c>
      <c r="K27" s="102">
        <f t="shared" si="3"/>
        <v>131.17572748125252</v>
      </c>
      <c r="L27" s="102">
        <f t="shared" si="3"/>
        <v>134.82918644737697</v>
      </c>
      <c r="M27" s="196"/>
      <c r="N27" s="196"/>
    </row>
    <row r="28" spans="1:15" s="33" customFormat="1" ht="13" x14ac:dyDescent="0.3">
      <c r="C28" s="69" t="str">
        <f>B13</f>
        <v>Manifold costs</v>
      </c>
      <c r="D28" s="426">
        <f t="shared" ref="D28:D29" si="4">D$25*D13</f>
        <v>0</v>
      </c>
      <c r="E28" s="426">
        <f t="shared" ref="E28:L28" si="5">E$25*E13</f>
        <v>0</v>
      </c>
      <c r="F28" s="426">
        <f t="shared" si="5"/>
        <v>0</v>
      </c>
      <c r="G28" s="426">
        <f t="shared" si="5"/>
        <v>0</v>
      </c>
      <c r="H28" s="426">
        <f t="shared" si="5"/>
        <v>0</v>
      </c>
      <c r="I28" s="426">
        <f t="shared" si="5"/>
        <v>0</v>
      </c>
      <c r="J28" s="426">
        <f t="shared" si="5"/>
        <v>0</v>
      </c>
      <c r="K28" s="426">
        <f t="shared" si="5"/>
        <v>0</v>
      </c>
      <c r="L28" s="426">
        <f t="shared" si="5"/>
        <v>0</v>
      </c>
      <c r="M28" s="196"/>
      <c r="N28" s="196"/>
    </row>
    <row r="29" spans="1:15" s="33" customFormat="1" ht="13" x14ac:dyDescent="0.3">
      <c r="C29" s="70" t="str">
        <f>B14</f>
        <v>Cables up poles costs</v>
      </c>
      <c r="D29" s="427">
        <f t="shared" si="4"/>
        <v>0</v>
      </c>
      <c r="E29" s="427">
        <f t="shared" ref="E29:L29" si="6">E$25*E14</f>
        <v>0</v>
      </c>
      <c r="F29" s="427">
        <f t="shared" si="6"/>
        <v>0</v>
      </c>
      <c r="G29" s="427">
        <f t="shared" si="6"/>
        <v>0</v>
      </c>
      <c r="H29" s="427">
        <f t="shared" si="6"/>
        <v>0</v>
      </c>
      <c r="I29" s="427">
        <f t="shared" si="6"/>
        <v>0</v>
      </c>
      <c r="J29" s="427">
        <f t="shared" si="6"/>
        <v>0</v>
      </c>
      <c r="K29" s="427">
        <f t="shared" si="6"/>
        <v>0</v>
      </c>
      <c r="L29" s="427">
        <f t="shared" si="6"/>
        <v>0</v>
      </c>
      <c r="M29" s="196"/>
      <c r="N29" s="196"/>
    </row>
    <row r="30" spans="1:15" s="33" customFormat="1" ht="13" x14ac:dyDescent="0.3">
      <c r="C30" s="69" t="s">
        <v>1</v>
      </c>
      <c r="D30" s="102">
        <f>SUM(D27:D29)</f>
        <v>64.839994804147153</v>
      </c>
      <c r="E30" s="102">
        <f t="shared" ref="E30:L30" si="7">SUM(E27:E29)</f>
        <v>81.1355156261627</v>
      </c>
      <c r="F30" s="102">
        <f t="shared" si="7"/>
        <v>100.39167616282819</v>
      </c>
      <c r="G30" s="102">
        <f t="shared" si="7"/>
        <v>105.59296025307654</v>
      </c>
      <c r="H30" s="102">
        <f t="shared" si="7"/>
        <v>119.33498980007909</v>
      </c>
      <c r="I30" s="102">
        <f t="shared" si="7"/>
        <v>123.7960091627755</v>
      </c>
      <c r="J30" s="102">
        <f t="shared" si="7"/>
        <v>127.55035851878586</v>
      </c>
      <c r="K30" s="102">
        <f t="shared" si="7"/>
        <v>131.17572748125252</v>
      </c>
      <c r="L30" s="102">
        <f t="shared" si="7"/>
        <v>134.82918644737697</v>
      </c>
      <c r="M30" s="196"/>
      <c r="N30" s="196"/>
    </row>
    <row r="31" spans="1:15" s="33" customFormat="1" x14ac:dyDescent="0.35">
      <c r="C31" s="69"/>
      <c r="D31" s="428" t="b">
        <f>IF(ABS(D30-D25)&lt;0.0000001,TRUE,FALSE)</f>
        <v>1</v>
      </c>
      <c r="E31" s="428" t="b">
        <f t="shared" ref="E31:L31" si="8">IF(ABS(E30-E25)&lt;0.0000001,TRUE,FALSE)</f>
        <v>1</v>
      </c>
      <c r="F31" s="428" t="b">
        <f t="shared" si="8"/>
        <v>1</v>
      </c>
      <c r="G31" s="428" t="b">
        <f t="shared" si="8"/>
        <v>1</v>
      </c>
      <c r="H31" s="428" t="b">
        <f t="shared" si="8"/>
        <v>1</v>
      </c>
      <c r="I31" s="428" t="b">
        <f t="shared" si="8"/>
        <v>1</v>
      </c>
      <c r="J31" s="428" t="b">
        <f t="shared" si="8"/>
        <v>1</v>
      </c>
      <c r="K31" s="428" t="b">
        <f t="shared" si="8"/>
        <v>1</v>
      </c>
      <c r="L31" s="428" t="b">
        <f t="shared" si="8"/>
        <v>1</v>
      </c>
      <c r="M31" s="196"/>
      <c r="N31" s="196"/>
    </row>
    <row r="32" spans="1:15" s="33" customFormat="1" ht="13" x14ac:dyDescent="0.3">
      <c r="C32" s="69"/>
      <c r="D32" s="102"/>
      <c r="E32" s="102"/>
      <c r="F32" s="102"/>
      <c r="G32" s="102"/>
      <c r="H32" s="102"/>
      <c r="I32" s="102"/>
      <c r="J32" s="102"/>
      <c r="K32" s="102"/>
      <c r="L32" s="102"/>
      <c r="M32" s="196"/>
      <c r="N32" s="196"/>
    </row>
    <row r="33" spans="1:18" s="33" customFormat="1" ht="13" x14ac:dyDescent="0.3">
      <c r="B33" s="33" t="s">
        <v>15</v>
      </c>
      <c r="C33" s="69" t="str">
        <f>CONCATENATE(C27,"/pole")</f>
        <v>Attachment costs/pole</v>
      </c>
      <c r="D33" s="102">
        <f>Million*D27/D$8</f>
        <v>15.759223832436748</v>
      </c>
      <c r="E33" s="102">
        <f t="shared" ref="D33:J36" si="9">Million*E27/E$8</f>
        <v>19.62519460205754</v>
      </c>
      <c r="F33" s="102">
        <f t="shared" si="9"/>
        <v>24.094984487664412</v>
      </c>
      <c r="G33" s="102">
        <f t="shared" si="9"/>
        <v>25.169063894107214</v>
      </c>
      <c r="H33" s="102">
        <f t="shared" si="9"/>
        <v>28.269582947157062</v>
      </c>
      <c r="I33" s="102">
        <f t="shared" si="9"/>
        <v>29.19918498071787</v>
      </c>
      <c r="J33" s="102">
        <f t="shared" si="9"/>
        <v>30.009361240631122</v>
      </c>
      <c r="K33" s="102">
        <f t="shared" ref="K33:L33" si="10">Million*K27/K$8</f>
        <v>30.788547729092997</v>
      </c>
      <c r="L33" s="102">
        <f t="shared" si="10"/>
        <v>31.55545683702282</v>
      </c>
      <c r="M33" s="196"/>
      <c r="N33" s="196"/>
    </row>
    <row r="34" spans="1:18" s="33" customFormat="1" ht="13" x14ac:dyDescent="0.3">
      <c r="C34" s="69" t="str">
        <f t="shared" ref="C34:C35" si="11">CONCATENATE(C28,"/pole")</f>
        <v>Manifold costs/pole</v>
      </c>
      <c r="D34" s="102">
        <f t="shared" si="9"/>
        <v>0</v>
      </c>
      <c r="E34" s="102">
        <f t="shared" si="9"/>
        <v>0</v>
      </c>
      <c r="F34" s="102">
        <f t="shared" si="9"/>
        <v>0</v>
      </c>
      <c r="G34" s="102">
        <f t="shared" si="9"/>
        <v>0</v>
      </c>
      <c r="H34" s="102">
        <f t="shared" si="9"/>
        <v>0</v>
      </c>
      <c r="I34" s="102">
        <f t="shared" si="9"/>
        <v>0</v>
      </c>
      <c r="J34" s="102">
        <f t="shared" si="9"/>
        <v>0</v>
      </c>
      <c r="K34" s="102">
        <f t="shared" ref="K34:L34" si="12">Million*K28/K$8</f>
        <v>0</v>
      </c>
      <c r="L34" s="102">
        <f t="shared" si="12"/>
        <v>0</v>
      </c>
      <c r="M34" s="196"/>
      <c r="N34" s="196"/>
    </row>
    <row r="35" spans="1:18" s="33" customFormat="1" ht="13" x14ac:dyDescent="0.3">
      <c r="C35" s="70" t="str">
        <f t="shared" si="11"/>
        <v>Cables up poles costs/pole</v>
      </c>
      <c r="D35" s="427">
        <f t="shared" si="9"/>
        <v>0</v>
      </c>
      <c r="E35" s="427">
        <f t="shared" si="9"/>
        <v>0</v>
      </c>
      <c r="F35" s="427">
        <f t="shared" si="9"/>
        <v>0</v>
      </c>
      <c r="G35" s="427">
        <f t="shared" si="9"/>
        <v>0</v>
      </c>
      <c r="H35" s="427">
        <f t="shared" si="9"/>
        <v>0</v>
      </c>
      <c r="I35" s="427">
        <f t="shared" si="9"/>
        <v>0</v>
      </c>
      <c r="J35" s="427">
        <f>Million*J29/J$8</f>
        <v>0</v>
      </c>
      <c r="K35" s="427">
        <f>Million*K29/K$8</f>
        <v>0</v>
      </c>
      <c r="L35" s="427">
        <f>Million*L29/L$8</f>
        <v>0</v>
      </c>
      <c r="M35" s="196"/>
      <c r="N35" s="196"/>
      <c r="R35" s="102"/>
    </row>
    <row r="36" spans="1:18" s="33" customFormat="1" ht="13" x14ac:dyDescent="0.3">
      <c r="C36" s="69" t="s">
        <v>1</v>
      </c>
      <c r="D36" s="102">
        <f>Million*D30/D$8</f>
        <v>15.759223832436748</v>
      </c>
      <c r="E36" s="102">
        <f t="shared" si="9"/>
        <v>19.62519460205754</v>
      </c>
      <c r="F36" s="102">
        <f t="shared" si="9"/>
        <v>24.094984487664412</v>
      </c>
      <c r="G36" s="102">
        <f t="shared" si="9"/>
        <v>25.169063894107214</v>
      </c>
      <c r="H36" s="102">
        <f t="shared" si="9"/>
        <v>28.269582947157062</v>
      </c>
      <c r="I36" s="102">
        <f t="shared" si="9"/>
        <v>29.19918498071787</v>
      </c>
      <c r="J36" s="102">
        <f t="shared" si="9"/>
        <v>30.009361240631122</v>
      </c>
      <c r="K36" s="102">
        <f t="shared" ref="K36:L36" si="13">Million*K30/K$8</f>
        <v>30.788547729092997</v>
      </c>
      <c r="L36" s="102">
        <f t="shared" si="13"/>
        <v>31.55545683702282</v>
      </c>
      <c r="M36" s="196"/>
      <c r="N36" s="196"/>
    </row>
    <row r="37" spans="1:18" s="33" customFormat="1" x14ac:dyDescent="0.35">
      <c r="C37" s="69"/>
      <c r="D37" s="428" t="b">
        <f>IF(ABS(D36-SUM(D33:D35))&lt;0.0000001,TRUE,FALSE)</f>
        <v>1</v>
      </c>
      <c r="E37" s="428" t="b">
        <f t="shared" ref="E37:J37" si="14">IF(ABS(E36-SUM(E33:E35))&lt;0.0000001,TRUE,FALSE)</f>
        <v>1</v>
      </c>
      <c r="F37" s="428" t="b">
        <f t="shared" si="14"/>
        <v>1</v>
      </c>
      <c r="G37" s="428" t="b">
        <f t="shared" si="14"/>
        <v>1</v>
      </c>
      <c r="H37" s="428" t="b">
        <f t="shared" si="14"/>
        <v>1</v>
      </c>
      <c r="I37" s="428" t="b">
        <f t="shared" si="14"/>
        <v>1</v>
      </c>
      <c r="J37" s="428" t="b">
        <f t="shared" si="14"/>
        <v>1</v>
      </c>
      <c r="K37" s="428" t="b">
        <f t="shared" ref="K37:L37" si="15">IF(ABS(K36-SUM(K33:K35))&lt;0.0000001,TRUE,FALSE)</f>
        <v>1</v>
      </c>
      <c r="L37" s="428" t="b">
        <f t="shared" si="15"/>
        <v>1</v>
      </c>
      <c r="M37" s="196"/>
      <c r="N37" s="196"/>
    </row>
    <row r="38" spans="1:18" s="33" customFormat="1" ht="15.5" outlineLevel="1" x14ac:dyDescent="0.35">
      <c r="A38" s="8"/>
      <c r="B38" s="11" t="s">
        <v>109</v>
      </c>
      <c r="C38" s="8"/>
      <c r="D38" s="429"/>
      <c r="E38" s="429"/>
      <c r="F38" s="429"/>
      <c r="G38" s="429"/>
      <c r="H38" s="429"/>
      <c r="I38" s="429"/>
      <c r="J38" s="429"/>
      <c r="K38" s="429"/>
      <c r="L38" s="429"/>
      <c r="M38" s="195"/>
      <c r="N38" s="195"/>
      <c r="O38" s="8"/>
      <c r="P38" s="8"/>
      <c r="Q38" s="8"/>
      <c r="R38" s="8"/>
    </row>
    <row r="39" spans="1:18" s="33" customFormat="1" ht="13" outlineLevel="1" x14ac:dyDescent="0.3">
      <c r="C39" s="33" t="str">
        <f>CONCATENATE('Pole volume forecasts'!A91," - ",'Pole volume forecasts'!B91)</f>
        <v>Attachments/Pole - Single</v>
      </c>
      <c r="D39" s="430">
        <f>'Pole volume forecasts'!D91</f>
        <v>5.1392772035901331</v>
      </c>
      <c r="E39" s="430">
        <f>'Pole volume forecasts'!E91</f>
        <v>5.1392772035901331</v>
      </c>
      <c r="F39" s="430">
        <f>'Pole volume forecasts'!F91</f>
        <v>5.1392772035901331</v>
      </c>
      <c r="G39" s="430">
        <f>'Pole volume forecasts'!G91</f>
        <v>5.1392772035901331</v>
      </c>
      <c r="H39" s="430">
        <f>'Pole volume forecasts'!H91</f>
        <v>5.1392772035901331</v>
      </c>
      <c r="I39" s="430">
        <f>'Pole volume forecasts'!I91</f>
        <v>5.1392772035901322</v>
      </c>
      <c r="J39" s="430">
        <f>'Pole volume forecasts'!J91</f>
        <v>5.1392772035901313</v>
      </c>
      <c r="K39" s="430">
        <f>'Pole volume forecasts'!K91</f>
        <v>5.1392772035901322</v>
      </c>
      <c r="L39" s="430">
        <f>'Pole volume forecasts'!L91</f>
        <v>5.1392772035901331</v>
      </c>
      <c r="M39" s="196"/>
      <c r="N39" s="196"/>
    </row>
    <row r="40" spans="1:18" s="33" customFormat="1" ht="13" outlineLevel="1" x14ac:dyDescent="0.3">
      <c r="C40" s="196" t="str">
        <f>CONCATENATE('Pole volume forecasts'!A96," - ",'Pole volume forecasts'!B96)</f>
        <v>Attachments/Pole - Multi</v>
      </c>
      <c r="D40" s="430">
        <f>'Pole volume forecasts'!D96</f>
        <v>2.0019957054930635</v>
      </c>
      <c r="E40" s="430">
        <f>'Pole volume forecasts'!E96</f>
        <v>2.0019957054930635</v>
      </c>
      <c r="F40" s="430">
        <f>'Pole volume forecasts'!F96</f>
        <v>2.0019957054930635</v>
      </c>
      <c r="G40" s="430">
        <f>'Pole volume forecasts'!G96</f>
        <v>2.0019957054930635</v>
      </c>
      <c r="H40" s="430">
        <f>'Pole volume forecasts'!H96</f>
        <v>2.0019957054930635</v>
      </c>
      <c r="I40" s="430">
        <f>'Pole volume forecasts'!I96</f>
        <v>2.0019957054930635</v>
      </c>
      <c r="J40" s="430">
        <f>'Pole volume forecasts'!J96</f>
        <v>2.0019957054930635</v>
      </c>
      <c r="K40" s="430">
        <f>'Pole volume forecasts'!K96</f>
        <v>2.0019957054930635</v>
      </c>
      <c r="L40" s="430">
        <f>'Pole volume forecasts'!L96</f>
        <v>2.001995705493063</v>
      </c>
      <c r="M40" s="196"/>
      <c r="N40" s="196"/>
    </row>
    <row r="41" spans="1:18" s="33" customFormat="1" ht="13" outlineLevel="1" x14ac:dyDescent="0.3">
      <c r="D41" s="430"/>
      <c r="E41" s="430"/>
      <c r="F41" s="430"/>
      <c r="G41" s="430"/>
      <c r="H41" s="430"/>
      <c r="I41" s="430"/>
      <c r="J41" s="430"/>
      <c r="K41" s="430"/>
      <c r="L41" s="430"/>
      <c r="M41" s="196"/>
      <c r="N41" s="196"/>
    </row>
    <row r="42" spans="1:18" s="33" customFormat="1" ht="13" outlineLevel="1" x14ac:dyDescent="0.3">
      <c r="C42" s="196" t="str">
        <f>CONCATENATE('Pole volume forecasts'!A101," - ",'Pole volume forecasts'!B101)</f>
        <v>Total Attachments/pole - Single</v>
      </c>
      <c r="D42" s="430">
        <f>'Pole volume forecasts'!D101</f>
        <v>5.1392772035901331</v>
      </c>
      <c r="E42" s="430">
        <f>'Pole volume forecasts'!E101</f>
        <v>5.1392772035901331</v>
      </c>
      <c r="F42" s="430">
        <f>'Pole volume forecasts'!F101</f>
        <v>5.1392772035901331</v>
      </c>
      <c r="G42" s="430">
        <f>'Pole volume forecasts'!G101</f>
        <v>5.1392772035901331</v>
      </c>
      <c r="H42" s="430">
        <f>'Pole volume forecasts'!H101</f>
        <v>5.1392772035901331</v>
      </c>
      <c r="I42" s="430">
        <f>'Pole volume forecasts'!I101</f>
        <v>5.1392772035901322</v>
      </c>
      <c r="J42" s="430">
        <f>'Pole volume forecasts'!J101</f>
        <v>5.1392772035901313</v>
      </c>
      <c r="K42" s="430">
        <f>'Pole volume forecasts'!K101</f>
        <v>5.1392772035901322</v>
      </c>
      <c r="L42" s="430">
        <f>'Pole volume forecasts'!L101</f>
        <v>5.1392772035901331</v>
      </c>
      <c r="M42" s="196"/>
      <c r="N42" s="196"/>
    </row>
    <row r="43" spans="1:18" ht="9" customHeight="1" outlineLevel="1" x14ac:dyDescent="0.35">
      <c r="A43" s="33"/>
      <c r="B43" s="33"/>
      <c r="C43" s="196" t="str">
        <f>CONCATENATE('Pole volume forecasts'!A101," - ",'Pole volume forecasts'!B102)</f>
        <v>Total Attachments/pole - Multi</v>
      </c>
      <c r="D43" s="430">
        <f>'Pole volume forecasts'!D102</f>
        <v>4.0019957054930639</v>
      </c>
      <c r="E43" s="430">
        <f>'Pole volume forecasts'!E102</f>
        <v>4.0019957054930639</v>
      </c>
      <c r="F43" s="430">
        <f>'Pole volume forecasts'!F102</f>
        <v>4.0019957054930639</v>
      </c>
      <c r="G43" s="430">
        <f>'Pole volume forecasts'!G102</f>
        <v>4.0019957054930639</v>
      </c>
      <c r="H43" s="430">
        <f>'Pole volume forecasts'!H102</f>
        <v>4.0019957054930639</v>
      </c>
      <c r="I43" s="430">
        <f>'Pole volume forecasts'!I102</f>
        <v>4.0019957054930639</v>
      </c>
      <c r="J43" s="430">
        <f>'Pole volume forecasts'!J102</f>
        <v>4.0019957054930639</v>
      </c>
      <c r="K43" s="430">
        <f>'Pole volume forecasts'!K102</f>
        <v>4.0019957054930639</v>
      </c>
      <c r="L43" s="430">
        <f>'Pole volume forecasts'!L102</f>
        <v>4.001995705493063</v>
      </c>
      <c r="M43" s="196"/>
      <c r="N43" s="196"/>
      <c r="O43" s="33"/>
      <c r="P43" s="33"/>
      <c r="Q43" s="33"/>
      <c r="R43" s="33"/>
    </row>
    <row r="44" spans="1:18" s="33" customFormat="1" ht="13" outlineLevel="1" x14ac:dyDescent="0.3">
      <c r="D44" s="177"/>
      <c r="E44" s="102"/>
      <c r="F44" s="102"/>
      <c r="G44" s="102"/>
      <c r="H44" s="102"/>
      <c r="I44" s="102"/>
      <c r="J44" s="102"/>
      <c r="K44" s="102"/>
      <c r="L44" s="102"/>
      <c r="M44" s="196"/>
      <c r="N44" s="196"/>
    </row>
    <row r="45" spans="1:18" s="33" customFormat="1" ht="13" outlineLevel="1" x14ac:dyDescent="0.3">
      <c r="C45" s="33" t="s">
        <v>221</v>
      </c>
      <c r="D45" s="177">
        <f t="shared" ref="D45:L45" si="16">D27</f>
        <v>64.839994804147153</v>
      </c>
      <c r="E45" s="102">
        <f t="shared" si="16"/>
        <v>81.1355156261627</v>
      </c>
      <c r="F45" s="102">
        <f t="shared" si="16"/>
        <v>100.39167616282819</v>
      </c>
      <c r="G45" s="102">
        <f t="shared" si="16"/>
        <v>105.59296025307654</v>
      </c>
      <c r="H45" s="102">
        <f t="shared" si="16"/>
        <v>119.33498980007909</v>
      </c>
      <c r="I45" s="102">
        <f t="shared" si="16"/>
        <v>123.7960091627755</v>
      </c>
      <c r="J45" s="102">
        <f t="shared" si="16"/>
        <v>127.55035851878586</v>
      </c>
      <c r="K45" s="102">
        <f t="shared" si="16"/>
        <v>131.17572748125252</v>
      </c>
      <c r="L45" s="102">
        <f t="shared" si="16"/>
        <v>134.82918644737697</v>
      </c>
      <c r="M45" s="196"/>
      <c r="N45" s="196"/>
    </row>
    <row r="46" spans="1:18" s="33" customFormat="1" ht="13" outlineLevel="1" x14ac:dyDescent="0.3">
      <c r="C46" s="33" t="s">
        <v>158</v>
      </c>
      <c r="D46" s="177">
        <f t="shared" ref="D46:L46" si="17">D33</f>
        <v>15.759223832436748</v>
      </c>
      <c r="E46" s="102">
        <f t="shared" si="17"/>
        <v>19.62519460205754</v>
      </c>
      <c r="F46" s="102">
        <f t="shared" si="17"/>
        <v>24.094984487664412</v>
      </c>
      <c r="G46" s="102">
        <f t="shared" si="17"/>
        <v>25.169063894107214</v>
      </c>
      <c r="H46" s="102">
        <f t="shared" si="17"/>
        <v>28.269582947157062</v>
      </c>
      <c r="I46" s="102">
        <f t="shared" si="17"/>
        <v>29.19918498071787</v>
      </c>
      <c r="J46" s="102">
        <f t="shared" si="17"/>
        <v>30.009361240631122</v>
      </c>
      <c r="K46" s="102">
        <f t="shared" si="17"/>
        <v>30.788547729092997</v>
      </c>
      <c r="L46" s="102">
        <f t="shared" si="17"/>
        <v>31.55545683702282</v>
      </c>
      <c r="M46" s="196"/>
      <c r="N46" s="196"/>
    </row>
    <row r="47" spans="1:18" s="33" customFormat="1" ht="13" outlineLevel="1" x14ac:dyDescent="0.3">
      <c r="D47" s="177"/>
      <c r="E47" s="102"/>
      <c r="F47" s="102"/>
      <c r="G47" s="102"/>
      <c r="H47" s="102"/>
      <c r="I47" s="102"/>
      <c r="J47" s="102"/>
      <c r="K47" s="102"/>
      <c r="L47" s="102"/>
      <c r="M47" s="196"/>
      <c r="N47" s="196"/>
    </row>
    <row r="48" spans="1:18" s="33" customFormat="1" ht="13" outlineLevel="1" x14ac:dyDescent="0.3">
      <c r="C48" s="33" t="s">
        <v>193</v>
      </c>
      <c r="D48" s="177">
        <f>D$46/D42</f>
        <v>3.0664280614067407</v>
      </c>
      <c r="E48" s="102">
        <f t="shared" ref="E48:J49" si="18">E$46/E42</f>
        <v>3.8186682338029971</v>
      </c>
      <c r="F48" s="102">
        <f t="shared" si="18"/>
        <v>4.6883994641955553</v>
      </c>
      <c r="G48" s="102">
        <f t="shared" si="18"/>
        <v>4.8973937184250191</v>
      </c>
      <c r="H48" s="102">
        <f t="shared" si="18"/>
        <v>5.5006923789611593</v>
      </c>
      <c r="I48" s="102">
        <f t="shared" si="18"/>
        <v>5.6815742416696784</v>
      </c>
      <c r="J48" s="102">
        <f t="shared" si="18"/>
        <v>5.8392182503149588</v>
      </c>
      <c r="K48" s="102">
        <f t="shared" ref="K48:L48" si="19">K$46/K42</f>
        <v>5.9908322725976166</v>
      </c>
      <c r="L48" s="102">
        <f t="shared" si="19"/>
        <v>6.140057363510028</v>
      </c>
      <c r="M48" s="196"/>
      <c r="N48" s="196"/>
    </row>
    <row r="49" spans="1:18" outlineLevel="1" x14ac:dyDescent="0.35">
      <c r="A49" s="33"/>
      <c r="B49" s="33"/>
      <c r="C49" s="196" t="s">
        <v>194</v>
      </c>
      <c r="D49" s="177">
        <f>D$46/D43</f>
        <v>3.9378412652482195</v>
      </c>
      <c r="E49" s="102">
        <f t="shared" si="18"/>
        <v>4.9038519894262675</v>
      </c>
      <c r="F49" s="102">
        <f t="shared" si="18"/>
        <v>6.0207422148384842</v>
      </c>
      <c r="G49" s="102">
        <f t="shared" si="18"/>
        <v>6.2891281616221208</v>
      </c>
      <c r="H49" s="102">
        <f t="shared" si="18"/>
        <v>7.0638713850579009</v>
      </c>
      <c r="I49" s="102">
        <f t="shared" si="18"/>
        <v>7.2961560005273416</v>
      </c>
      <c r="J49" s="102">
        <f t="shared" si="18"/>
        <v>7.4985990613235387</v>
      </c>
      <c r="K49" s="102">
        <f t="shared" ref="K49:L49" si="20">K$46/K43</f>
        <v>7.6932985427328706</v>
      </c>
      <c r="L49" s="102">
        <f t="shared" si="20"/>
        <v>7.8849302096227643</v>
      </c>
      <c r="M49" s="196"/>
      <c r="N49" s="196"/>
      <c r="O49" s="33"/>
      <c r="P49" s="33"/>
      <c r="Q49" s="33"/>
      <c r="R49" s="33"/>
    </row>
    <row r="50" spans="1:18" s="33" customFormat="1" ht="13" outlineLevel="1" x14ac:dyDescent="0.3">
      <c r="D50" s="177"/>
      <c r="E50" s="102"/>
      <c r="F50" s="102"/>
      <c r="G50" s="102"/>
      <c r="H50" s="102"/>
      <c r="I50" s="102"/>
      <c r="J50" s="102"/>
      <c r="K50" s="102"/>
      <c r="L50" s="102"/>
      <c r="M50" s="196"/>
      <c r="N50" s="196"/>
    </row>
    <row r="51" spans="1:18" s="33" customFormat="1" ht="13" outlineLevel="1" x14ac:dyDescent="0.3">
      <c r="C51" s="196" t="str">
        <f>CONCATENATE('Pole volume forecasts'!A85," - ",'Pole volume forecasts'!B85)</f>
        <v>Total attachments - Single</v>
      </c>
      <c r="D51" s="49">
        <f>'Pole volume forecasts'!D85</f>
        <v>17030086.750905767</v>
      </c>
      <c r="E51" s="49">
        <f>'Pole volume forecasts'!E85</f>
        <v>17112195.824779872</v>
      </c>
      <c r="F51" s="49">
        <f>'Pole volume forecasts'!F85</f>
        <v>17245657.915037308</v>
      </c>
      <c r="G51" s="49">
        <f>'Pole volume forecasts'!G85</f>
        <v>17365073.061682492</v>
      </c>
      <c r="H51" s="49">
        <f>'Pole volume forecasts'!H85</f>
        <v>17472582.978910506</v>
      </c>
      <c r="I51" s="49">
        <f>'Pole volume forecasts'!I85</f>
        <v>17548686.998962857</v>
      </c>
      <c r="J51" s="49">
        <f>'Pole volume forecasts'!J85</f>
        <v>17592746.510160025</v>
      </c>
      <c r="K51" s="49">
        <f>'Pole volume forecasts'!K85</f>
        <v>17634899.548403017</v>
      </c>
      <c r="L51" s="49">
        <f>'Pole volume forecasts'!L85</f>
        <v>17685533.079546962</v>
      </c>
      <c r="M51" s="196"/>
      <c r="N51" s="196"/>
    </row>
    <row r="52" spans="1:18" s="33" customFormat="1" ht="13" outlineLevel="1" x14ac:dyDescent="0.3">
      <c r="C52" s="196" t="str">
        <f>CONCATENATE('Pole volume forecasts'!A85," - ",'Pole volume forecasts'!B86)</f>
        <v>Total attachments - Multi</v>
      </c>
      <c r="D52" s="49">
        <f>'Pole volume forecasts'!D86</f>
        <v>2579629.0847532051</v>
      </c>
      <c r="E52" s="49">
        <f>'Pole volume forecasts'!E86</f>
        <v>2592066.5407794653</v>
      </c>
      <c r="F52" s="49">
        <f>'Pole volume forecasts'!F86</f>
        <v>2612282.684993865</v>
      </c>
      <c r="G52" s="49">
        <f>'Pole volume forecasts'!G86</f>
        <v>2630371.0711513571</v>
      </c>
      <c r="H52" s="49">
        <f>'Pole volume forecasts'!H86</f>
        <v>2646656.1149938996</v>
      </c>
      <c r="I52" s="49">
        <f>'Pole volume forecasts'!I86</f>
        <v>2658183.9566581966</v>
      </c>
      <c r="J52" s="49">
        <f>'Pole volume forecasts'!J86</f>
        <v>2664857.862564059</v>
      </c>
      <c r="K52" s="49">
        <f>'Pole volume forecasts'!K86</f>
        <v>2671242.9858492678</v>
      </c>
      <c r="L52" s="49">
        <f>'Pole volume forecasts'!L86</f>
        <v>2678912.6901504351</v>
      </c>
      <c r="M52" s="196"/>
      <c r="N52" s="196"/>
    </row>
    <row r="53" spans="1:18" s="33" customFormat="1" ht="13" outlineLevel="1" x14ac:dyDescent="0.3">
      <c r="D53" s="102"/>
      <c r="E53" s="102"/>
      <c r="F53" s="102"/>
      <c r="G53" s="102"/>
      <c r="H53" s="102"/>
      <c r="I53" s="102"/>
      <c r="J53" s="102"/>
      <c r="K53" s="102"/>
      <c r="L53" s="102"/>
      <c r="M53" s="196"/>
      <c r="N53" s="196"/>
    </row>
    <row r="54" spans="1:18" s="33" customFormat="1" ht="9" customHeight="1" outlineLevel="1" x14ac:dyDescent="0.3">
      <c r="C54" s="33" t="s">
        <v>301</v>
      </c>
      <c r="D54" s="431" cm="1">
        <f t="array" ref="D54">D45*Million/SUMPRODUCT(D51:D52,D48:D49,D42:D43/D39:D40)</f>
        <v>0.89400257654486781</v>
      </c>
      <c r="E54" s="431">
        <f t="shared" ref="E54:J54" si="21">E45*Million/SUMPRODUCT(E51:E52,E48:E49,E42:E43/E39:E40)</f>
        <v>0.89400257654486781</v>
      </c>
      <c r="F54" s="431">
        <f t="shared" si="21"/>
        <v>0.89400257654486803</v>
      </c>
      <c r="G54" s="431">
        <f t="shared" si="21"/>
        <v>0.89400257654486792</v>
      </c>
      <c r="H54" s="431">
        <f t="shared" si="21"/>
        <v>0.89400257654486792</v>
      </c>
      <c r="I54" s="431">
        <f t="shared" si="21"/>
        <v>0.89400257654486781</v>
      </c>
      <c r="J54" s="431">
        <f t="shared" si="21"/>
        <v>0.89400257654486781</v>
      </c>
      <c r="K54" s="431">
        <f t="shared" ref="K54:L54" si="22">K45*Million/SUMPRODUCT(K51:K52,K48:K49,K42:K43/K39:K40)</f>
        <v>0.89400257654486781</v>
      </c>
      <c r="L54" s="431">
        <f t="shared" si="22"/>
        <v>0.89400257654486781</v>
      </c>
      <c r="M54" s="196"/>
      <c r="N54" s="196"/>
    </row>
    <row r="55" spans="1:18" s="33" customFormat="1" ht="13" outlineLevel="1" x14ac:dyDescent="0.3">
      <c r="D55" s="102"/>
      <c r="E55" s="102"/>
      <c r="F55" s="102"/>
      <c r="G55" s="102"/>
      <c r="H55" s="102"/>
      <c r="I55" s="102"/>
      <c r="J55" s="102"/>
      <c r="K55" s="102"/>
      <c r="L55" s="102"/>
      <c r="M55" s="196"/>
      <c r="N55" s="196"/>
    </row>
    <row r="56" spans="1:18" s="33" customFormat="1" ht="13" outlineLevel="1" x14ac:dyDescent="0.3">
      <c r="C56" s="33" t="s">
        <v>195</v>
      </c>
      <c r="D56" s="102">
        <f>D48*D54</f>
        <v>2.7413945876871102</v>
      </c>
      <c r="E56" s="102">
        <f t="shared" ref="E56:J56" si="23">E48*E54</f>
        <v>3.4138992399899193</v>
      </c>
      <c r="F56" s="102">
        <f t="shared" si="23"/>
        <v>4.1914412008624051</v>
      </c>
      <c r="G56" s="102">
        <f t="shared" si="23"/>
        <v>4.3782826026266184</v>
      </c>
      <c r="H56" s="102">
        <f t="shared" si="23"/>
        <v>4.9176331595719951</v>
      </c>
      <c r="I56" s="102">
        <f t="shared" si="23"/>
        <v>5.0793420108836456</v>
      </c>
      <c r="J56" s="102">
        <f t="shared" si="23"/>
        <v>5.2202761607893882</v>
      </c>
      <c r="K56" s="102">
        <f t="shared" ref="K56:L56" si="24">K48*K54</f>
        <v>5.3558194873504155</v>
      </c>
      <c r="L56" s="102">
        <f t="shared" si="24"/>
        <v>5.4892271031112534</v>
      </c>
      <c r="M56" s="196"/>
      <c r="N56" s="196"/>
    </row>
    <row r="57" spans="1:18" s="33" customFormat="1" ht="13" outlineLevel="1" x14ac:dyDescent="0.3">
      <c r="C57" s="196" t="s">
        <v>196</v>
      </c>
      <c r="D57" s="102">
        <f>D49*D54</f>
        <v>3.5204402371566106</v>
      </c>
      <c r="E57" s="102">
        <f t="shared" ref="E57:J57" si="25">E49*E54</f>
        <v>4.384056313541759</v>
      </c>
      <c r="F57" s="102">
        <f>F49*F54</f>
        <v>5.3825590527780598</v>
      </c>
      <c r="G57" s="102">
        <f t="shared" si="25"/>
        <v>5.6224967807110646</v>
      </c>
      <c r="H57" s="102">
        <f t="shared" si="25"/>
        <v>6.3151192186233285</v>
      </c>
      <c r="I57" s="102">
        <f t="shared" si="25"/>
        <v>6.522782263344741</v>
      </c>
      <c r="J57" s="102">
        <f t="shared" si="25"/>
        <v>6.7037668813001705</v>
      </c>
      <c r="K57" s="102">
        <f t="shared" ref="K57" si="26">K49*K54</f>
        <v>6.8778287193320633</v>
      </c>
      <c r="L57" s="102">
        <f>L49*L54</f>
        <v>7.0491479232792162</v>
      </c>
      <c r="M57" s="196"/>
      <c r="N57" s="444">
        <f>L57/L67</f>
        <v>14.091268846853438</v>
      </c>
    </row>
    <row r="58" spans="1:18" s="33" customFormat="1" ht="13" outlineLevel="1" x14ac:dyDescent="0.3">
      <c r="D58" s="196"/>
      <c r="L58" s="196"/>
      <c r="M58" s="196"/>
      <c r="N58" s="196"/>
    </row>
    <row r="59" spans="1:18" outlineLevel="1" x14ac:dyDescent="0.35">
      <c r="A59" s="33"/>
      <c r="B59" s="33"/>
      <c r="C59" s="33" t="s">
        <v>280</v>
      </c>
      <c r="D59" s="362" cm="1">
        <f t="array" ref="D59:L59">Leadin_discount</f>
        <v>0.1</v>
      </c>
      <c r="E59" s="362">
        <v>0.1</v>
      </c>
      <c r="F59" s="362">
        <v>0.1</v>
      </c>
      <c r="G59" s="362">
        <v>0.1</v>
      </c>
      <c r="H59" s="362">
        <v>0.1887739413116305</v>
      </c>
      <c r="I59" s="362">
        <v>0.27754788262326108</v>
      </c>
      <c r="J59" s="362">
        <v>0.36632182393489165</v>
      </c>
      <c r="K59" s="362">
        <v>0.45509576524652223</v>
      </c>
      <c r="L59" s="362">
        <v>0.54386970655815281</v>
      </c>
      <c r="M59" s="362"/>
      <c r="N59" s="196"/>
      <c r="O59" s="33"/>
      <c r="P59" s="33"/>
      <c r="Q59" s="33"/>
      <c r="R59" s="33"/>
    </row>
    <row r="60" spans="1:18" x14ac:dyDescent="0.35">
      <c r="A60" s="33"/>
      <c r="B60" s="33"/>
      <c r="C60" s="33"/>
      <c r="D60" s="196"/>
      <c r="E60" s="33"/>
      <c r="F60" s="33"/>
      <c r="G60" s="33"/>
      <c r="H60" s="33"/>
      <c r="I60" s="33"/>
      <c r="J60" s="33"/>
      <c r="K60" s="33"/>
      <c r="L60" s="196"/>
      <c r="M60" s="196"/>
      <c r="N60" s="196"/>
      <c r="O60" s="33"/>
      <c r="P60" s="33"/>
      <c r="Q60" s="33"/>
      <c r="R60" s="33"/>
    </row>
    <row r="61" spans="1:18" s="33" customFormat="1" ht="13" x14ac:dyDescent="0.3">
      <c r="A61" s="196"/>
      <c r="B61" s="196"/>
      <c r="C61" s="131" t="s">
        <v>197</v>
      </c>
      <c r="D61" s="196"/>
      <c r="E61" s="196"/>
      <c r="F61" s="196"/>
      <c r="G61" s="196"/>
      <c r="H61" s="196"/>
      <c r="I61" s="196"/>
      <c r="J61" s="196"/>
      <c r="K61" s="196"/>
      <c r="L61" s="196"/>
      <c r="M61" s="196"/>
      <c r="N61" s="196"/>
      <c r="O61" s="196"/>
      <c r="P61" s="196"/>
      <c r="Q61" s="196"/>
      <c r="R61" s="196"/>
    </row>
    <row r="62" spans="1:18" s="33" customFormat="1" ht="13" x14ac:dyDescent="0.3">
      <c r="C62" s="33" t="s">
        <v>86</v>
      </c>
      <c r="D62" s="177">
        <f>ROUND(D56*(1-D59),2)</f>
        <v>2.4700000000000002</v>
      </c>
      <c r="E62" s="177">
        <f t="shared" ref="E62:J62" si="27">ROUND(E56*(1-E59),2)</f>
        <v>3.07</v>
      </c>
      <c r="F62" s="177">
        <f t="shared" si="27"/>
        <v>3.77</v>
      </c>
      <c r="G62" s="177">
        <f t="shared" si="27"/>
        <v>3.94</v>
      </c>
      <c r="H62" s="177">
        <f t="shared" si="27"/>
        <v>3.99</v>
      </c>
      <c r="I62" s="177">
        <f t="shared" si="27"/>
        <v>3.67</v>
      </c>
      <c r="J62" s="177">
        <f t="shared" si="27"/>
        <v>3.31</v>
      </c>
      <c r="K62" s="177">
        <f t="shared" ref="K62:L62" si="28">ROUND(K56*(1-K59),2)</f>
        <v>2.92</v>
      </c>
      <c r="L62" s="177">
        <f t="shared" si="28"/>
        <v>2.5</v>
      </c>
      <c r="M62" s="196"/>
      <c r="N62" s="196"/>
    </row>
    <row r="63" spans="1:18" s="33" customFormat="1" ht="9" customHeight="1" x14ac:dyDescent="0.3">
      <c r="C63" s="130" t="s">
        <v>87</v>
      </c>
      <c r="D63" s="177">
        <f>ROUND(D57,2)</f>
        <v>3.52</v>
      </c>
      <c r="E63" s="177">
        <f t="shared" ref="E63:J63" si="29">ROUND(E57,2)</f>
        <v>4.38</v>
      </c>
      <c r="F63" s="177">
        <f>ROUND(F57,2)</f>
        <v>5.38</v>
      </c>
      <c r="G63" s="177">
        <f t="shared" si="29"/>
        <v>5.62</v>
      </c>
      <c r="H63" s="177">
        <f t="shared" si="29"/>
        <v>6.32</v>
      </c>
      <c r="I63" s="177">
        <f t="shared" si="29"/>
        <v>6.52</v>
      </c>
      <c r="J63" s="177">
        <f t="shared" si="29"/>
        <v>6.7</v>
      </c>
      <c r="K63" s="177">
        <f t="shared" ref="K63:L63" si="30">ROUND(K57,2)</f>
        <v>6.88</v>
      </c>
      <c r="L63" s="177">
        <f t="shared" si="30"/>
        <v>7.05</v>
      </c>
      <c r="M63" s="196"/>
      <c r="N63" s="196"/>
    </row>
    <row r="64" spans="1:18" s="33" customFormat="1" ht="13" x14ac:dyDescent="0.3">
      <c r="K64" s="196"/>
      <c r="L64" s="196"/>
      <c r="M64" s="196"/>
      <c r="N64" s="196"/>
    </row>
    <row r="65" spans="1:18" s="33" customFormat="1" ht="13" x14ac:dyDescent="0.3">
      <c r="A65" s="196"/>
      <c r="B65" s="196"/>
      <c r="C65" s="131" t="s">
        <v>157</v>
      </c>
      <c r="D65" s="196"/>
      <c r="E65" s="196"/>
      <c r="F65" s="196"/>
      <c r="G65" s="196"/>
      <c r="H65" s="196"/>
      <c r="I65" s="196"/>
      <c r="J65" s="196"/>
      <c r="K65" s="196"/>
      <c r="L65" s="196"/>
      <c r="M65" s="196"/>
      <c r="N65" s="196"/>
      <c r="O65" s="196"/>
      <c r="P65" s="196"/>
      <c r="Q65" s="196"/>
      <c r="R65" s="196"/>
    </row>
    <row r="66" spans="1:18" s="33" customFormat="1" ht="9" customHeight="1" x14ac:dyDescent="0.35">
      <c r="A66" s="8"/>
      <c r="B66" s="8"/>
      <c r="C66" s="196" t="str">
        <f>C62</f>
        <v>Single</v>
      </c>
      <c r="D66" s="178">
        <f>D39/D42*(1-D59)</f>
        <v>0.9</v>
      </c>
      <c r="E66" s="178">
        <f t="shared" ref="E66:J66" si="31">E39/E42*(1-E59)</f>
        <v>0.9</v>
      </c>
      <c r="F66" s="178">
        <f t="shared" si="31"/>
        <v>0.9</v>
      </c>
      <c r="G66" s="178">
        <f t="shared" si="31"/>
        <v>0.9</v>
      </c>
      <c r="H66" s="178">
        <f t="shared" si="31"/>
        <v>0.8112260586883695</v>
      </c>
      <c r="I66" s="178">
        <f t="shared" si="31"/>
        <v>0.72245211737673887</v>
      </c>
      <c r="J66" s="178">
        <f t="shared" si="31"/>
        <v>0.63367817606510835</v>
      </c>
      <c r="K66" s="178">
        <f t="shared" ref="K66:L66" si="32">K39/K42*(1-K59)</f>
        <v>0.54490423475347782</v>
      </c>
      <c r="L66" s="178">
        <f t="shared" si="32"/>
        <v>0.45613029344184719</v>
      </c>
      <c r="M66" s="195"/>
      <c r="N66" s="195"/>
      <c r="O66" s="8"/>
      <c r="P66" s="8"/>
      <c r="Q66" s="8"/>
      <c r="R66" s="8"/>
    </row>
    <row r="67" spans="1:18" s="33" customFormat="1" x14ac:dyDescent="0.35">
      <c r="A67" s="8"/>
      <c r="B67" s="8"/>
      <c r="C67" s="196" t="str">
        <f>C63</f>
        <v>Multi</v>
      </c>
      <c r="D67" s="309">
        <f>D40/D43</f>
        <v>0.50024933878493716</v>
      </c>
      <c r="E67" s="125">
        <f t="shared" ref="E67:J67" si="33">E40/E43</f>
        <v>0.50024933878493716</v>
      </c>
      <c r="F67" s="125">
        <f t="shared" si="33"/>
        <v>0.50024933878493716</v>
      </c>
      <c r="G67" s="125">
        <f t="shared" si="33"/>
        <v>0.50024933878493716</v>
      </c>
      <c r="H67" s="125">
        <f t="shared" si="33"/>
        <v>0.50024933878493716</v>
      </c>
      <c r="I67" s="125">
        <f t="shared" si="33"/>
        <v>0.50024933878493716</v>
      </c>
      <c r="J67" s="125">
        <f t="shared" si="33"/>
        <v>0.50024933878493716</v>
      </c>
      <c r="K67" s="125">
        <f t="shared" ref="K67:L67" si="34">K40/K43</f>
        <v>0.50024933878493716</v>
      </c>
      <c r="L67" s="125">
        <f t="shared" si="34"/>
        <v>0.50024933878493716</v>
      </c>
      <c r="M67" s="195"/>
      <c r="N67" s="195"/>
      <c r="O67" s="8"/>
      <c r="P67" s="8"/>
      <c r="Q67" s="8"/>
      <c r="R67" s="8"/>
    </row>
    <row r="68" spans="1:18" s="33" customFormat="1" ht="13" x14ac:dyDescent="0.3">
      <c r="L68" s="196"/>
      <c r="M68" s="196"/>
      <c r="N68" s="196"/>
    </row>
    <row r="69" spans="1:18" s="33" customFormat="1" ht="9" customHeight="1" x14ac:dyDescent="0.35">
      <c r="B69" s="11" t="s">
        <v>159</v>
      </c>
      <c r="D69" s="409" t="s">
        <v>36</v>
      </c>
      <c r="E69" s="409" t="s">
        <v>37</v>
      </c>
      <c r="F69" s="409" t="s">
        <v>40</v>
      </c>
      <c r="G69" s="409" t="s">
        <v>39</v>
      </c>
      <c r="H69" s="409" t="s">
        <v>266</v>
      </c>
      <c r="I69" s="409" t="s">
        <v>267</v>
      </c>
      <c r="J69" s="409" t="s">
        <v>268</v>
      </c>
      <c r="K69" s="409" t="s">
        <v>269</v>
      </c>
      <c r="L69" s="409" t="s">
        <v>270</v>
      </c>
      <c r="M69" s="196"/>
      <c r="N69" s="196"/>
    </row>
    <row r="70" spans="1:18" s="33" customFormat="1" ht="13" x14ac:dyDescent="0.3">
      <c r="C70" s="131" t="str">
        <f>B17</f>
        <v>Facility on pole for Multi-end-user attachment</v>
      </c>
      <c r="D70" s="182">
        <f>D63</f>
        <v>3.52</v>
      </c>
      <c r="E70" s="182">
        <f>E63</f>
        <v>4.38</v>
      </c>
      <c r="F70" s="182">
        <f>F63</f>
        <v>5.38</v>
      </c>
      <c r="G70" s="182">
        <f t="shared" ref="G70:J70" si="35">G63</f>
        <v>5.62</v>
      </c>
      <c r="H70" s="182">
        <f t="shared" si="35"/>
        <v>6.32</v>
      </c>
      <c r="I70" s="182">
        <f t="shared" si="35"/>
        <v>6.52</v>
      </c>
      <c r="J70" s="182">
        <f t="shared" si="35"/>
        <v>6.7</v>
      </c>
      <c r="K70" s="182">
        <f t="shared" ref="K70:L70" si="36">K63</f>
        <v>6.88</v>
      </c>
      <c r="L70" s="182">
        <f t="shared" si="36"/>
        <v>7.05</v>
      </c>
      <c r="M70" s="196"/>
      <c r="N70" s="196"/>
    </row>
    <row r="71" spans="1:18" s="33" customFormat="1" ht="13" x14ac:dyDescent="0.3">
      <c r="C71" s="131" t="str">
        <f>B18</f>
        <v>Facility on pole for Single-end-user attachment</v>
      </c>
      <c r="D71" s="182">
        <f>D62</f>
        <v>2.4700000000000002</v>
      </c>
      <c r="E71" s="182">
        <f t="shared" ref="E71:J71" si="37">E62</f>
        <v>3.07</v>
      </c>
      <c r="F71" s="182">
        <f t="shared" si="37"/>
        <v>3.77</v>
      </c>
      <c r="G71" s="182">
        <f t="shared" si="37"/>
        <v>3.94</v>
      </c>
      <c r="H71" s="182">
        <f t="shared" si="37"/>
        <v>3.99</v>
      </c>
      <c r="I71" s="182">
        <f t="shared" si="37"/>
        <v>3.67</v>
      </c>
      <c r="J71" s="182">
        <f t="shared" si="37"/>
        <v>3.31</v>
      </c>
      <c r="K71" s="182">
        <f t="shared" ref="K71:L71" si="38">K62</f>
        <v>2.92</v>
      </c>
      <c r="L71" s="182">
        <f t="shared" si="38"/>
        <v>2.5</v>
      </c>
      <c r="M71" s="196"/>
      <c r="N71" s="196"/>
    </row>
    <row r="72" spans="1:18" s="33" customFormat="1" ht="9" customHeight="1" x14ac:dyDescent="0.3">
      <c r="C72" s="131" t="str">
        <f>B19</f>
        <v>Pole top equipment</v>
      </c>
      <c r="D72" s="182" t="e">
        <f>#REF!</f>
        <v>#REF!</v>
      </c>
      <c r="E72" s="182" t="e">
        <f>#REF!</f>
        <v>#REF!</v>
      </c>
      <c r="F72" s="182" t="e">
        <f>#REF!</f>
        <v>#REF!</v>
      </c>
      <c r="G72" s="182" t="e">
        <f>#REF!</f>
        <v>#REF!</v>
      </c>
      <c r="H72" s="182" t="e">
        <f>#REF!</f>
        <v>#REF!</v>
      </c>
      <c r="I72" s="182" t="e">
        <f>#REF!</f>
        <v>#REF!</v>
      </c>
      <c r="J72" s="182" t="e">
        <f>#REF!</f>
        <v>#REF!</v>
      </c>
      <c r="K72" s="182" t="e">
        <f>#REF!</f>
        <v>#REF!</v>
      </c>
      <c r="L72" s="182" t="e">
        <f>#REF!</f>
        <v>#REF!</v>
      </c>
      <c r="M72" s="196"/>
      <c r="N72" s="196"/>
    </row>
    <row r="73" spans="1:18" s="33" customFormat="1" ht="13" x14ac:dyDescent="0.3">
      <c r="C73" s="131" t="str">
        <f>B20</f>
        <v>Cable up a pole (per cable)</v>
      </c>
      <c r="D73" s="182" t="e">
        <f>#REF!</f>
        <v>#REF!</v>
      </c>
      <c r="E73" s="182" t="e">
        <f>#REF!</f>
        <v>#REF!</v>
      </c>
      <c r="F73" s="182" t="e">
        <f>#REF!</f>
        <v>#REF!</v>
      </c>
      <c r="G73" s="182" t="e">
        <f>#REF!</f>
        <v>#REF!</v>
      </c>
      <c r="H73" s="182" t="e">
        <f>#REF!</f>
        <v>#REF!</v>
      </c>
      <c r="I73" s="182" t="e">
        <f>#REF!</f>
        <v>#REF!</v>
      </c>
      <c r="J73" s="182" t="e">
        <f>#REF!</f>
        <v>#REF!</v>
      </c>
      <c r="K73" s="182" t="e">
        <f>#REF!</f>
        <v>#REF!</v>
      </c>
      <c r="L73" s="182" t="e">
        <f>#REF!</f>
        <v>#REF!</v>
      </c>
      <c r="M73" s="196"/>
      <c r="N73" s="196"/>
    </row>
    <row r="74" spans="1:18" s="33" customFormat="1" ht="13.5" thickBot="1" x14ac:dyDescent="0.35">
      <c r="A74" s="98"/>
      <c r="B74" s="98"/>
      <c r="C74" s="98"/>
      <c r="D74" s="98"/>
      <c r="E74" s="98"/>
      <c r="F74" s="98"/>
      <c r="G74" s="98"/>
      <c r="H74" s="98"/>
      <c r="I74" s="98"/>
      <c r="J74" s="98"/>
      <c r="K74" s="98"/>
      <c r="L74" s="216"/>
      <c r="M74" s="98"/>
      <c r="N74" s="98"/>
      <c r="O74" s="98"/>
    </row>
    <row r="75" spans="1:18" s="33" customFormat="1" ht="9" customHeight="1" x14ac:dyDescent="0.3">
      <c r="L75" s="196"/>
    </row>
    <row r="76" spans="1:18" s="33" customFormat="1" ht="15.5" x14ac:dyDescent="0.35">
      <c r="A76" s="11" t="s">
        <v>211</v>
      </c>
      <c r="B76" s="8"/>
      <c r="C76" s="8"/>
      <c r="D76" s="8"/>
      <c r="E76" s="8"/>
      <c r="F76" s="8"/>
      <c r="G76" s="8"/>
      <c r="H76" s="8"/>
      <c r="I76" s="8"/>
      <c r="J76" s="8"/>
      <c r="K76" s="8"/>
      <c r="L76" s="195"/>
      <c r="M76" s="8"/>
      <c r="N76" s="8"/>
      <c r="O76" s="8"/>
      <c r="P76" s="8"/>
      <c r="Q76" s="8"/>
      <c r="R76" s="8"/>
    </row>
    <row r="77" spans="1:18" s="33" customFormat="1" ht="9" customHeight="1" x14ac:dyDescent="0.35">
      <c r="B77" s="8"/>
      <c r="C77" s="8"/>
      <c r="D77" s="185" t="s">
        <v>291</v>
      </c>
      <c r="E77" s="185" t="s">
        <v>292</v>
      </c>
      <c r="F77" s="185" t="s">
        <v>293</v>
      </c>
      <c r="G77" s="185" t="s">
        <v>294</v>
      </c>
      <c r="L77" s="196"/>
    </row>
    <row r="78" spans="1:18" s="33" customFormat="1" ht="13" x14ac:dyDescent="0.3">
      <c r="C78" s="152" t="str">
        <f>C70</f>
        <v>Facility on pole for Multi-end-user attachment</v>
      </c>
      <c r="D78" s="167">
        <f t="shared" ref="D78:G81" si="39">D17</f>
        <v>5.65</v>
      </c>
      <c r="E78" s="167">
        <f t="shared" si="39"/>
        <v>6.29</v>
      </c>
      <c r="F78" s="167">
        <f t="shared" si="39"/>
        <v>6.6</v>
      </c>
      <c r="G78" s="167">
        <f t="shared" si="39"/>
        <v>6.77</v>
      </c>
      <c r="H78" s="130"/>
      <c r="I78" s="130"/>
      <c r="J78" s="130"/>
      <c r="K78" s="130"/>
      <c r="L78" s="130"/>
      <c r="M78" s="130"/>
      <c r="N78" s="130"/>
      <c r="O78" s="130"/>
    </row>
    <row r="79" spans="1:18" s="33" customFormat="1" ht="13" x14ac:dyDescent="0.3">
      <c r="C79" s="152" t="str">
        <f>C71</f>
        <v>Facility on pole for Single-end-user attachment</v>
      </c>
      <c r="D79" s="167">
        <f t="shared" si="39"/>
        <v>2.21</v>
      </c>
      <c r="E79" s="167">
        <f t="shared" si="39"/>
        <v>2.46</v>
      </c>
      <c r="F79" s="167">
        <f t="shared" si="39"/>
        <v>2.58</v>
      </c>
      <c r="G79" s="167">
        <f t="shared" si="39"/>
        <v>2.64</v>
      </c>
      <c r="H79" s="179"/>
      <c r="I79" s="179"/>
      <c r="J79" s="179"/>
      <c r="K79" s="179"/>
      <c r="L79" s="179"/>
      <c r="M79" s="179"/>
      <c r="N79" s="179"/>
      <c r="O79" s="179"/>
    </row>
    <row r="80" spans="1:18" s="33" customFormat="1" ht="9" customHeight="1" x14ac:dyDescent="0.3">
      <c r="C80" s="152" t="str">
        <f>C72</f>
        <v>Pole top equipment</v>
      </c>
      <c r="D80" s="167">
        <f t="shared" si="39"/>
        <v>1.66</v>
      </c>
      <c r="E80" s="167">
        <f t="shared" si="39"/>
        <v>1.85</v>
      </c>
      <c r="F80" s="167">
        <f t="shared" si="39"/>
        <v>1.94</v>
      </c>
      <c r="G80" s="167">
        <f t="shared" si="39"/>
        <v>1.98</v>
      </c>
      <c r="H80" s="179"/>
      <c r="I80" s="179"/>
      <c r="J80" s="179"/>
      <c r="K80" s="179"/>
      <c r="L80" s="179"/>
      <c r="M80" s="179"/>
      <c r="N80" s="179"/>
      <c r="O80" s="179"/>
    </row>
    <row r="81" spans="1:18" s="33" customFormat="1" ht="13" x14ac:dyDescent="0.3">
      <c r="C81" s="152" t="str">
        <f>C73</f>
        <v>Cable up a pole (per cable)</v>
      </c>
      <c r="D81" s="167">
        <f t="shared" si="39"/>
        <v>1.1000000000000001</v>
      </c>
      <c r="E81" s="167">
        <f t="shared" si="39"/>
        <v>1.23</v>
      </c>
      <c r="F81" s="167">
        <f t="shared" si="39"/>
        <v>1.29</v>
      </c>
      <c r="G81" s="167">
        <f t="shared" si="39"/>
        <v>1.32</v>
      </c>
      <c r="H81" s="179"/>
      <c r="I81" s="179"/>
      <c r="J81" s="179"/>
      <c r="K81" s="179"/>
      <c r="L81" s="179"/>
      <c r="N81" s="179"/>
    </row>
    <row r="82" spans="1:18" s="33" customFormat="1" ht="9" customHeight="1" thickBot="1" x14ac:dyDescent="0.35">
      <c r="A82" s="98"/>
      <c r="B82" s="98"/>
      <c r="C82" s="98"/>
      <c r="D82" s="98"/>
      <c r="E82" s="98"/>
      <c r="F82" s="98"/>
      <c r="G82" s="98"/>
      <c r="H82" s="98"/>
      <c r="I82" s="98"/>
      <c r="J82" s="98"/>
      <c r="K82" s="98"/>
      <c r="L82" s="216"/>
      <c r="M82" s="98"/>
      <c r="N82" s="98"/>
      <c r="O82" s="98"/>
    </row>
    <row r="83" spans="1:18" s="196" customFormat="1" ht="13" x14ac:dyDescent="0.3">
      <c r="A83" s="33"/>
      <c r="B83" s="33"/>
      <c r="C83" s="33"/>
      <c r="D83" s="33"/>
      <c r="E83" s="33"/>
      <c r="F83" s="33"/>
      <c r="G83" s="33"/>
      <c r="H83" s="33"/>
      <c r="I83" s="33"/>
      <c r="J83" s="33"/>
      <c r="K83" s="33"/>
      <c r="M83" s="33"/>
      <c r="N83" s="33"/>
      <c r="O83" s="33"/>
      <c r="P83" s="33"/>
      <c r="Q83" s="33"/>
      <c r="R83" s="33"/>
    </row>
    <row r="84" spans="1:18" s="33" customFormat="1" ht="15.5" x14ac:dyDescent="0.35">
      <c r="A84" s="11" t="s">
        <v>147</v>
      </c>
      <c r="C84" s="186" t="s">
        <v>154</v>
      </c>
      <c r="D84" s="79" t="str">
        <f>D23</f>
        <v>2022/23</v>
      </c>
      <c r="E84" s="79" t="str">
        <f>E23</f>
        <v>2023/24</v>
      </c>
      <c r="F84" s="79" t="str">
        <f>F23</f>
        <v>2024/25</v>
      </c>
      <c r="G84" s="79" t="str">
        <f>G23</f>
        <v>2025/26</v>
      </c>
      <c r="H84" s="409" t="s">
        <v>266</v>
      </c>
      <c r="I84" s="409" t="s">
        <v>267</v>
      </c>
      <c r="J84" s="409" t="s">
        <v>268</v>
      </c>
      <c r="K84" s="409" t="s">
        <v>269</v>
      </c>
      <c r="L84" s="409" t="s">
        <v>270</v>
      </c>
      <c r="N84" s="179"/>
    </row>
    <row r="85" spans="1:18" s="33" customFormat="1" ht="13" x14ac:dyDescent="0.3">
      <c r="C85" s="85" t="str">
        <f>C78</f>
        <v>Facility on pole for Multi-end-user attachment</v>
      </c>
      <c r="D85" s="86">
        <f>D78</f>
        <v>5.65</v>
      </c>
      <c r="E85" s="86">
        <f t="shared" ref="E85:G85" si="40">E78</f>
        <v>6.29</v>
      </c>
      <c r="F85" s="86">
        <f t="shared" si="40"/>
        <v>6.6</v>
      </c>
      <c r="G85" s="86">
        <f t="shared" si="40"/>
        <v>6.77</v>
      </c>
      <c r="H85" s="86">
        <f t="shared" ref="H85:H88" si="41">H70</f>
        <v>6.32</v>
      </c>
      <c r="I85" s="86">
        <f t="shared" ref="I85:L85" si="42">I70</f>
        <v>6.52</v>
      </c>
      <c r="J85" s="86">
        <f t="shared" si="42"/>
        <v>6.7</v>
      </c>
      <c r="K85" s="86">
        <f t="shared" si="42"/>
        <v>6.88</v>
      </c>
      <c r="L85" s="86">
        <f t="shared" si="42"/>
        <v>7.05</v>
      </c>
      <c r="N85" s="179"/>
    </row>
    <row r="86" spans="1:18" s="33" customFormat="1" ht="9" customHeight="1" x14ac:dyDescent="0.3">
      <c r="C86" s="85" t="str">
        <f>C79</f>
        <v>Facility on pole for Single-end-user attachment</v>
      </c>
      <c r="D86" s="86">
        <f t="shared" ref="D86:G88" si="43">D79</f>
        <v>2.21</v>
      </c>
      <c r="E86" s="86">
        <f t="shared" si="43"/>
        <v>2.46</v>
      </c>
      <c r="F86" s="86">
        <f t="shared" si="43"/>
        <v>2.58</v>
      </c>
      <c r="G86" s="86">
        <f t="shared" si="43"/>
        <v>2.64</v>
      </c>
      <c r="H86" s="86">
        <f t="shared" si="41"/>
        <v>3.99</v>
      </c>
      <c r="I86" s="86">
        <f t="shared" ref="I86:L86" si="44">I71</f>
        <v>3.67</v>
      </c>
      <c r="J86" s="86">
        <f t="shared" si="44"/>
        <v>3.31</v>
      </c>
      <c r="K86" s="86">
        <f t="shared" si="44"/>
        <v>2.92</v>
      </c>
      <c r="L86" s="86">
        <f t="shared" si="44"/>
        <v>2.5</v>
      </c>
      <c r="N86" s="179"/>
    </row>
    <row r="87" spans="1:18" s="196" customFormat="1" ht="13" x14ac:dyDescent="0.3">
      <c r="A87" s="33"/>
      <c r="B87" s="33"/>
      <c r="C87" s="85" t="str">
        <f>C80</f>
        <v>Pole top equipment</v>
      </c>
      <c r="D87" s="86">
        <f t="shared" si="43"/>
        <v>1.66</v>
      </c>
      <c r="E87" s="86">
        <f t="shared" si="43"/>
        <v>1.85</v>
      </c>
      <c r="F87" s="86">
        <f t="shared" si="43"/>
        <v>1.94</v>
      </c>
      <c r="G87" s="86">
        <f t="shared" si="43"/>
        <v>1.98</v>
      </c>
      <c r="H87" s="86" t="e">
        <f t="shared" si="41"/>
        <v>#REF!</v>
      </c>
      <c r="I87" s="86" t="e">
        <f t="shared" ref="I87:L87" si="45">I72</f>
        <v>#REF!</v>
      </c>
      <c r="J87" s="86" t="e">
        <f t="shared" si="45"/>
        <v>#REF!</v>
      </c>
      <c r="K87" s="86" t="e">
        <f t="shared" si="45"/>
        <v>#REF!</v>
      </c>
      <c r="L87" s="86" t="e">
        <f t="shared" si="45"/>
        <v>#REF!</v>
      </c>
      <c r="M87" s="33"/>
      <c r="N87" s="33"/>
      <c r="O87" s="33"/>
      <c r="P87" s="33"/>
      <c r="Q87" s="33"/>
      <c r="R87" s="33"/>
    </row>
    <row r="88" spans="1:18" x14ac:dyDescent="0.35">
      <c r="A88" s="33"/>
      <c r="B88" s="33"/>
      <c r="C88" s="85" t="str">
        <f>C81</f>
        <v>Cable up a pole (per cable)</v>
      </c>
      <c r="D88" s="86">
        <f t="shared" si="43"/>
        <v>1.1000000000000001</v>
      </c>
      <c r="E88" s="86">
        <f t="shared" si="43"/>
        <v>1.23</v>
      </c>
      <c r="F88" s="86">
        <f t="shared" si="43"/>
        <v>1.29</v>
      </c>
      <c r="G88" s="86">
        <f t="shared" si="43"/>
        <v>1.32</v>
      </c>
      <c r="H88" s="86" t="e">
        <f t="shared" si="41"/>
        <v>#REF!</v>
      </c>
      <c r="I88" s="86" t="e">
        <f t="shared" ref="I88:L88" si="46">I73</f>
        <v>#REF!</v>
      </c>
      <c r="J88" s="86" t="e">
        <f t="shared" si="46"/>
        <v>#REF!</v>
      </c>
      <c r="K88" s="86" t="e">
        <f t="shared" si="46"/>
        <v>#REF!</v>
      </c>
      <c r="L88" s="86" t="e">
        <f t="shared" si="46"/>
        <v>#REF!</v>
      </c>
      <c r="M88" s="33"/>
      <c r="N88" s="33"/>
      <c r="O88" s="33"/>
      <c r="P88" s="33"/>
      <c r="Q88" s="33"/>
      <c r="R88" s="33"/>
    </row>
    <row r="89" spans="1:18" x14ac:dyDescent="0.35">
      <c r="A89" s="33"/>
      <c r="B89" s="33"/>
      <c r="C89" s="85"/>
      <c r="D89" s="163"/>
      <c r="E89" s="163"/>
      <c r="F89" s="163"/>
      <c r="G89" s="163"/>
      <c r="H89" s="163"/>
      <c r="I89" s="163"/>
      <c r="J89" s="163"/>
      <c r="K89" s="33"/>
      <c r="L89" s="33"/>
      <c r="M89" s="33"/>
      <c r="N89" s="215" t="s">
        <v>207</v>
      </c>
      <c r="O89" s="196"/>
      <c r="P89" s="33"/>
      <c r="Q89" s="33"/>
      <c r="R89" s="33"/>
    </row>
    <row r="90" spans="1:18" s="33" customFormat="1" ht="9" customHeight="1" x14ac:dyDescent="0.3">
      <c r="C90" s="130" t="s">
        <v>114</v>
      </c>
      <c r="D90" s="131" cm="1">
        <f t="array" ref="D90:L90">CPI</f>
        <v>0.10036409874522789</v>
      </c>
      <c r="E90" s="131">
        <v>5.6703919580784135E-2</v>
      </c>
      <c r="F90" s="131">
        <v>2.2608687962007545E-2</v>
      </c>
      <c r="G90" s="131">
        <v>2.5861655271887107E-2</v>
      </c>
      <c r="H90" s="131">
        <v>2.1778243527577512E-2</v>
      </c>
      <c r="I90" s="131">
        <v>2.1112015247234828E-2</v>
      </c>
      <c r="J90" s="131">
        <v>2.0605611437519933E-2</v>
      </c>
      <c r="K90" s="131">
        <v>2.0170109706586503E-2</v>
      </c>
      <c r="L90" s="131">
        <v>0.02</v>
      </c>
      <c r="N90" s="52">
        <f>(L91/G91)^(1/5)-1</f>
        <v>2.0732989647421762E-2</v>
      </c>
    </row>
    <row r="91" spans="1:18" s="33" customFormat="1" ht="13" x14ac:dyDescent="0.3">
      <c r="C91" s="130" t="s">
        <v>99</v>
      </c>
      <c r="D91" s="170"/>
      <c r="E91" s="170"/>
      <c r="F91" s="170"/>
      <c r="G91" s="170">
        <v>100</v>
      </c>
      <c r="H91" s="170">
        <f t="shared" ref="H91:L91" si="47">G91*(1+H90)</f>
        <v>102.17782435275775</v>
      </c>
      <c r="I91" s="170">
        <f t="shared" si="47"/>
        <v>104.33500413842246</v>
      </c>
      <c r="J91" s="170">
        <f t="shared" si="47"/>
        <v>106.48489069303083</v>
      </c>
      <c r="K91" s="170">
        <f t="shared" si="47"/>
        <v>108.63270262040314</v>
      </c>
      <c r="L91" s="170">
        <f t="shared" si="47"/>
        <v>110.8053566728112</v>
      </c>
      <c r="M91" s="196"/>
    </row>
    <row r="92" spans="1:18" s="33" customFormat="1" ht="13" x14ac:dyDescent="0.3">
      <c r="C92" s="130"/>
      <c r="D92" s="130"/>
      <c r="E92" s="170"/>
      <c r="F92" s="170"/>
      <c r="G92" s="170"/>
      <c r="H92" s="170"/>
      <c r="I92" s="170"/>
      <c r="J92" s="170"/>
      <c r="K92" s="170"/>
      <c r="L92" s="170"/>
    </row>
    <row r="93" spans="1:18" s="33" customFormat="1" ht="13" x14ac:dyDescent="0.3">
      <c r="A93" s="51"/>
      <c r="B93" s="51"/>
      <c r="C93" s="120" t="s">
        <v>148</v>
      </c>
      <c r="D93" s="51"/>
      <c r="E93" s="51"/>
      <c r="F93" s="51"/>
      <c r="G93" s="191" t="s">
        <v>149</v>
      </c>
      <c r="H93" s="51"/>
      <c r="I93" s="51"/>
      <c r="J93" s="51"/>
      <c r="K93" s="51"/>
      <c r="L93" s="215" t="s">
        <v>150</v>
      </c>
      <c r="M93" s="51"/>
      <c r="N93" s="215" t="s">
        <v>151</v>
      </c>
      <c r="O93" s="181" t="s">
        <v>152</v>
      </c>
      <c r="P93" s="51"/>
      <c r="Q93" s="51"/>
      <c r="R93" s="51"/>
    </row>
    <row r="94" spans="1:18" s="33" customFormat="1" ht="13" x14ac:dyDescent="0.3">
      <c r="C94" s="131" t="str">
        <f>C85</f>
        <v>Facility on pole for Multi-end-user attachment</v>
      </c>
      <c r="D94" s="130"/>
      <c r="E94" s="170"/>
      <c r="G94" s="180">
        <f>G85</f>
        <v>6.77</v>
      </c>
      <c r="H94" s="170"/>
      <c r="J94" s="196"/>
      <c r="K94" s="196"/>
      <c r="L94" s="119">
        <f>L85</f>
        <v>7.05</v>
      </c>
      <c r="N94" s="171">
        <f>100*L94/G94</f>
        <v>104.13589364844904</v>
      </c>
      <c r="O94" s="364">
        <f>(N94/100)^(1/5)-1-$N$90</f>
        <v>-1.2594746747107921E-2</v>
      </c>
    </row>
    <row r="95" spans="1:18" s="33" customFormat="1" ht="13" x14ac:dyDescent="0.3">
      <c r="C95" s="131" t="str">
        <f t="shared" ref="C95:C97" si="48">C86</f>
        <v>Facility on pole for Single-end-user attachment</v>
      </c>
      <c r="D95" s="130"/>
      <c r="E95" s="170"/>
      <c r="G95" s="180">
        <f t="shared" ref="G95:G97" si="49">G86</f>
        <v>2.64</v>
      </c>
      <c r="H95" s="170"/>
      <c r="J95" s="196"/>
      <c r="K95" s="196"/>
      <c r="L95" s="119">
        <f t="shared" ref="L95:L97" si="50">L86</f>
        <v>2.5</v>
      </c>
      <c r="N95" s="171">
        <f t="shared" ref="N95:N97" si="51">100*L95/G95</f>
        <v>94.696969696969688</v>
      </c>
      <c r="O95" s="364">
        <f t="shared" ref="O95" si="52">(N95/100)^(1/5)-1-$N$90</f>
        <v>-3.1571462568980468E-2</v>
      </c>
    </row>
    <row r="96" spans="1:18" s="33" customFormat="1" ht="9" customHeight="1" x14ac:dyDescent="0.3">
      <c r="C96" s="131" t="str">
        <f t="shared" si="48"/>
        <v>Pole top equipment</v>
      </c>
      <c r="D96" s="130"/>
      <c r="E96" s="170"/>
      <c r="G96" s="180">
        <f t="shared" si="49"/>
        <v>1.98</v>
      </c>
      <c r="H96" s="170"/>
      <c r="J96" s="196"/>
      <c r="K96" s="196"/>
      <c r="L96" s="119" t="e">
        <f t="shared" si="50"/>
        <v>#REF!</v>
      </c>
      <c r="N96" s="171" t="e">
        <f t="shared" si="51"/>
        <v>#REF!</v>
      </c>
      <c r="O96" s="364" t="s">
        <v>295</v>
      </c>
    </row>
    <row r="97" spans="1:18" s="33" customFormat="1" ht="9" customHeight="1" x14ac:dyDescent="0.3">
      <c r="C97" s="131" t="str">
        <f t="shared" si="48"/>
        <v>Cable up a pole (per cable)</v>
      </c>
      <c r="D97" s="130"/>
      <c r="E97" s="170"/>
      <c r="G97" s="180">
        <f t="shared" si="49"/>
        <v>1.32</v>
      </c>
      <c r="H97" s="170"/>
      <c r="J97" s="196"/>
      <c r="K97" s="196"/>
      <c r="L97" s="119" t="e">
        <f t="shared" si="50"/>
        <v>#REF!</v>
      </c>
      <c r="N97" s="171" t="e">
        <f t="shared" si="51"/>
        <v>#REF!</v>
      </c>
      <c r="O97" s="364" t="s">
        <v>295</v>
      </c>
    </row>
    <row r="98" spans="1:18" x14ac:dyDescent="0.35">
      <c r="A98" s="33"/>
      <c r="B98" s="33"/>
      <c r="C98" s="131"/>
      <c r="D98" s="130"/>
      <c r="E98" s="170"/>
      <c r="F98" s="170"/>
      <c r="G98" s="170"/>
      <c r="H98" s="170"/>
      <c r="I98" s="170"/>
      <c r="J98" s="170"/>
      <c r="K98" s="170"/>
      <c r="L98" s="170"/>
      <c r="M98" s="33"/>
      <c r="N98" s="33"/>
      <c r="O98" s="33"/>
      <c r="P98" s="33"/>
      <c r="Q98" s="33"/>
      <c r="R98" s="33"/>
    </row>
    <row r="99" spans="1:18" s="33" customFormat="1" ht="13" x14ac:dyDescent="0.3">
      <c r="C99" s="186" t="s">
        <v>153</v>
      </c>
      <c r="D99" s="79" t="str">
        <f t="shared" ref="D99:J99" si="53">D84</f>
        <v>2022/23</v>
      </c>
      <c r="E99" s="79" t="str">
        <f t="shared" si="53"/>
        <v>2023/24</v>
      </c>
      <c r="F99" s="79" t="str">
        <f t="shared" si="53"/>
        <v>2024/25</v>
      </c>
      <c r="G99" s="79" t="str">
        <f t="shared" si="53"/>
        <v>2025/26</v>
      </c>
      <c r="H99" s="79" t="str">
        <f t="shared" si="53"/>
        <v>2026/27</v>
      </c>
      <c r="I99" s="79" t="str">
        <f t="shared" si="53"/>
        <v>2027/28</v>
      </c>
      <c r="J99" s="79" t="str">
        <f t="shared" si="53"/>
        <v>2028/29</v>
      </c>
      <c r="K99" s="409" t="s">
        <v>269</v>
      </c>
      <c r="L99" s="409" t="s">
        <v>270</v>
      </c>
      <c r="N99" s="293" t="s">
        <v>208</v>
      </c>
    </row>
    <row r="100" spans="1:18" s="33" customFormat="1" ht="13" x14ac:dyDescent="0.3">
      <c r="C100" s="131" t="str">
        <f>C70</f>
        <v>Facility on pole for Multi-end-user attachment</v>
      </c>
      <c r="D100" s="182">
        <f>D85</f>
        <v>5.65</v>
      </c>
      <c r="E100" s="182">
        <f t="shared" ref="E100:G100" si="54">E85</f>
        <v>6.29</v>
      </c>
      <c r="F100" s="182">
        <f t="shared" si="54"/>
        <v>6.6</v>
      </c>
      <c r="G100" s="182">
        <f t="shared" si="54"/>
        <v>6.77</v>
      </c>
      <c r="H100" s="182">
        <f>G100*(1+H$90+$O94)</f>
        <v>6.8321722732037786</v>
      </c>
      <c r="I100" s="182">
        <f t="shared" ref="I100:L100" si="55">H100*(1+I$90+$O94)</f>
        <v>6.8903637188937772</v>
      </c>
      <c r="J100" s="182">
        <f t="shared" si="55"/>
        <v>6.9455614903135592</v>
      </c>
      <c r="K100" s="182">
        <f t="shared" si="55"/>
        <v>6.9981766395600618</v>
      </c>
      <c r="L100" s="182">
        <f t="shared" si="55"/>
        <v>7.0499999098844777</v>
      </c>
      <c r="N100" s="193" t="str">
        <f>IF(ABS(L100-L85)&lt;0.001,"ok","error")</f>
        <v>ok</v>
      </c>
    </row>
    <row r="101" spans="1:18" s="33" customFormat="1" ht="13" x14ac:dyDescent="0.3">
      <c r="C101" s="131" t="str">
        <f>C71</f>
        <v>Facility on pole for Single-end-user attachment</v>
      </c>
      <c r="D101" s="182">
        <f t="shared" ref="D101:G103" si="56">D86</f>
        <v>2.21</v>
      </c>
      <c r="E101" s="182">
        <f t="shared" si="56"/>
        <v>2.46</v>
      </c>
      <c r="F101" s="182">
        <f t="shared" si="56"/>
        <v>2.58</v>
      </c>
      <c r="G101" s="182">
        <f t="shared" si="56"/>
        <v>2.64</v>
      </c>
      <c r="H101" s="182">
        <f>G101*(1+H$90+$O95)</f>
        <v>2.6141459017306965</v>
      </c>
      <c r="I101" s="182">
        <f t="shared" ref="I101:L101" si="57">H101*(1+I$90+$O95)</f>
        <v>2.5868033803801871</v>
      </c>
      <c r="J101" s="182">
        <f t="shared" si="57"/>
        <v>2.5584368796045789</v>
      </c>
      <c r="K101" s="182">
        <f t="shared" si="57"/>
        <v>2.5292672379640448</v>
      </c>
      <c r="L101" s="182">
        <f t="shared" si="57"/>
        <v>2.4999999167929952</v>
      </c>
      <c r="N101" s="193" t="str">
        <f t="shared" ref="N101:N103" si="58">IF(ABS(L101-L86)&lt;0.001,"ok","error")</f>
        <v>ok</v>
      </c>
    </row>
    <row r="102" spans="1:18" s="33" customFormat="1" ht="13" x14ac:dyDescent="0.3">
      <c r="C102" s="131" t="str">
        <f>C72</f>
        <v>Pole top equipment</v>
      </c>
      <c r="D102" s="182">
        <f t="shared" si="56"/>
        <v>1.66</v>
      </c>
      <c r="E102" s="182">
        <f t="shared" si="56"/>
        <v>1.85</v>
      </c>
      <c r="F102" s="182">
        <f t="shared" si="56"/>
        <v>1.94</v>
      </c>
      <c r="G102" s="182">
        <f t="shared" si="56"/>
        <v>1.98</v>
      </c>
      <c r="H102" s="414"/>
      <c r="I102" s="414"/>
      <c r="J102" s="414"/>
      <c r="K102" s="414"/>
      <c r="L102" s="414"/>
      <c r="N102" s="193" t="e">
        <f t="shared" si="58"/>
        <v>#REF!</v>
      </c>
    </row>
    <row r="103" spans="1:18" s="33" customFormat="1" ht="13" x14ac:dyDescent="0.3">
      <c r="C103" s="131" t="str">
        <f>C73</f>
        <v>Cable up a pole (per cable)</v>
      </c>
      <c r="D103" s="182">
        <f t="shared" si="56"/>
        <v>1.1000000000000001</v>
      </c>
      <c r="E103" s="182">
        <f t="shared" si="56"/>
        <v>1.23</v>
      </c>
      <c r="F103" s="182">
        <f t="shared" si="56"/>
        <v>1.29</v>
      </c>
      <c r="G103" s="182">
        <f t="shared" si="56"/>
        <v>1.32</v>
      </c>
      <c r="H103" s="414"/>
      <c r="I103" s="414"/>
      <c r="J103" s="414"/>
      <c r="K103" s="414"/>
      <c r="L103" s="414"/>
      <c r="N103" s="193" t="e">
        <f t="shared" si="58"/>
        <v>#REF!</v>
      </c>
    </row>
    <row r="104" spans="1:18" s="33" customFormat="1" ht="9" customHeight="1" x14ac:dyDescent="0.35">
      <c r="A104" s="8"/>
      <c r="B104" s="8"/>
      <c r="C104" s="8"/>
      <c r="D104" s="8"/>
      <c r="E104" s="8"/>
      <c r="F104" s="8"/>
      <c r="G104" s="8"/>
      <c r="H104" s="8"/>
      <c r="I104" s="8"/>
      <c r="J104" s="8"/>
      <c r="K104" s="8"/>
      <c r="L104" s="195"/>
      <c r="M104" s="8"/>
      <c r="N104" s="8"/>
      <c r="O104" s="8"/>
      <c r="P104" s="8"/>
      <c r="Q104" s="8"/>
      <c r="R104" s="8"/>
    </row>
    <row r="105" spans="1:18" s="33" customFormat="1" ht="9" customHeight="1" x14ac:dyDescent="0.35">
      <c r="A105" s="8"/>
      <c r="B105" s="8"/>
      <c r="C105" s="8"/>
      <c r="D105" s="8"/>
      <c r="E105" s="8"/>
      <c r="F105" s="8"/>
      <c r="G105" s="8"/>
      <c r="H105" s="8"/>
      <c r="I105" s="8"/>
      <c r="J105" s="8"/>
      <c r="K105" s="8"/>
      <c r="L105" s="195"/>
      <c r="M105" s="8"/>
      <c r="N105" s="8"/>
      <c r="O105" s="8"/>
      <c r="P105" s="8"/>
      <c r="Q105" s="8"/>
      <c r="R105" s="8"/>
    </row>
    <row r="106" spans="1:18" s="33" customFormat="1" x14ac:dyDescent="0.35">
      <c r="A106" s="8"/>
      <c r="B106" s="8"/>
      <c r="C106" s="8"/>
      <c r="D106" s="8"/>
      <c r="E106" s="8"/>
      <c r="F106" s="8"/>
      <c r="G106" s="8"/>
      <c r="H106" s="8"/>
      <c r="I106" s="8"/>
      <c r="J106" s="8"/>
      <c r="K106" s="8"/>
      <c r="L106" s="195"/>
      <c r="M106" s="8"/>
      <c r="N106" s="8"/>
      <c r="O106" s="8"/>
      <c r="P106" s="8"/>
      <c r="Q106" s="8"/>
      <c r="R106" s="8"/>
    </row>
    <row r="107" spans="1:18" s="33" customFormat="1" x14ac:dyDescent="0.35">
      <c r="A107" s="8"/>
      <c r="B107" s="8"/>
      <c r="C107" s="8"/>
      <c r="D107" s="8"/>
      <c r="E107" s="8"/>
      <c r="F107" s="8"/>
      <c r="G107" s="8"/>
      <c r="H107" s="8"/>
      <c r="I107" s="8"/>
      <c r="J107" s="8"/>
      <c r="K107" s="8"/>
      <c r="L107" s="195"/>
      <c r="M107" s="8"/>
      <c r="N107" s="8"/>
      <c r="O107" s="8"/>
      <c r="P107" s="8"/>
      <c r="Q107" s="8"/>
      <c r="R107" s="8"/>
    </row>
    <row r="108" spans="1:18" s="33" customFormat="1" x14ac:dyDescent="0.35">
      <c r="A108" s="8"/>
      <c r="B108" s="8"/>
      <c r="C108" s="8"/>
      <c r="D108" s="8"/>
      <c r="E108" s="8"/>
      <c r="F108" s="8"/>
      <c r="G108" s="8"/>
      <c r="H108" s="8"/>
      <c r="I108" s="8"/>
      <c r="J108" s="8"/>
      <c r="K108" s="8"/>
      <c r="L108" s="195"/>
      <c r="M108" s="8"/>
      <c r="N108" s="8"/>
      <c r="O108" s="8"/>
      <c r="P108" s="8"/>
      <c r="Q108" s="8"/>
      <c r="R108" s="8"/>
    </row>
    <row r="109" spans="1:18" s="33" customFormat="1" x14ac:dyDescent="0.35">
      <c r="A109" s="8"/>
      <c r="B109" s="8"/>
      <c r="C109" s="8"/>
      <c r="D109" s="8"/>
      <c r="E109" s="8"/>
      <c r="F109" s="8"/>
      <c r="G109" s="8"/>
      <c r="H109" s="8"/>
      <c r="I109" s="8"/>
      <c r="J109" s="8"/>
      <c r="K109" s="8"/>
      <c r="L109" s="195"/>
      <c r="M109" s="8"/>
      <c r="N109" s="8"/>
      <c r="O109" s="8"/>
      <c r="P109" s="8"/>
      <c r="Q109" s="8"/>
      <c r="R109" s="8"/>
    </row>
    <row r="110" spans="1:18" s="33" customFormat="1" x14ac:dyDescent="0.35">
      <c r="A110" s="8"/>
      <c r="B110" s="8"/>
      <c r="C110" s="8"/>
      <c r="D110" s="8"/>
      <c r="E110" s="8"/>
      <c r="F110" s="8"/>
      <c r="G110" s="8"/>
      <c r="H110" s="8"/>
      <c r="I110" s="8"/>
      <c r="J110" s="8"/>
      <c r="K110" s="8"/>
      <c r="L110" s="195"/>
      <c r="M110" s="8"/>
      <c r="N110" s="8"/>
      <c r="O110" s="8"/>
      <c r="P110" s="8"/>
      <c r="Q110" s="8"/>
      <c r="R110" s="8"/>
    </row>
    <row r="111" spans="1:18" s="33" customFormat="1" ht="9" customHeight="1" x14ac:dyDescent="0.35">
      <c r="A111" s="8"/>
      <c r="B111" s="8"/>
      <c r="C111" s="8"/>
      <c r="D111" s="8"/>
      <c r="E111" s="8"/>
      <c r="F111" s="8"/>
      <c r="G111" s="8"/>
      <c r="H111" s="8"/>
      <c r="I111" s="8"/>
      <c r="J111" s="8"/>
      <c r="K111" s="8"/>
      <c r="L111" s="195"/>
      <c r="M111" s="8"/>
      <c r="N111" s="8"/>
      <c r="O111" s="8"/>
      <c r="P111" s="8"/>
      <c r="Q111" s="8"/>
      <c r="R111" s="8"/>
    </row>
    <row r="112" spans="1:18" s="33" customFormat="1" x14ac:dyDescent="0.35">
      <c r="A112" s="8"/>
      <c r="B112" s="8"/>
      <c r="C112" s="8"/>
      <c r="D112" s="8"/>
      <c r="E112" s="8"/>
      <c r="F112" s="8"/>
      <c r="G112" s="8"/>
      <c r="H112" s="8"/>
      <c r="I112" s="8"/>
      <c r="J112" s="8"/>
      <c r="K112" s="8"/>
      <c r="L112" s="195"/>
      <c r="M112" s="8"/>
      <c r="N112" s="8"/>
      <c r="O112" s="8"/>
      <c r="P112" s="8"/>
      <c r="Q112" s="8"/>
      <c r="R112" s="8"/>
    </row>
    <row r="113" spans="1:18" s="33" customFormat="1" x14ac:dyDescent="0.35">
      <c r="A113" s="8"/>
      <c r="B113" s="8"/>
      <c r="C113" s="8"/>
      <c r="D113" s="8"/>
      <c r="E113" s="8"/>
      <c r="F113" s="8"/>
      <c r="G113" s="8"/>
      <c r="H113" s="8"/>
      <c r="I113" s="8"/>
      <c r="J113" s="8"/>
      <c r="K113" s="8"/>
      <c r="L113" s="195"/>
      <c r="M113" s="8"/>
      <c r="N113" s="8"/>
      <c r="O113" s="8"/>
      <c r="P113" s="8"/>
      <c r="Q113" s="8"/>
      <c r="R113" s="8"/>
    </row>
    <row r="114" spans="1:18" s="33" customFormat="1" ht="9" customHeight="1" x14ac:dyDescent="0.35">
      <c r="A114" s="8"/>
      <c r="B114" s="8"/>
      <c r="C114" s="8"/>
      <c r="D114" s="8"/>
      <c r="E114" s="8"/>
      <c r="F114" s="8"/>
      <c r="G114" s="8"/>
      <c r="H114" s="8"/>
      <c r="I114" s="8"/>
      <c r="J114" s="8"/>
      <c r="K114" s="8"/>
      <c r="L114" s="195"/>
      <c r="M114" s="8"/>
      <c r="N114" s="8"/>
      <c r="O114" s="8"/>
      <c r="P114" s="8"/>
      <c r="Q114" s="8"/>
      <c r="R114" s="8"/>
    </row>
    <row r="115" spans="1:18" s="51" customFormat="1" x14ac:dyDescent="0.35">
      <c r="A115" s="8"/>
      <c r="B115" s="8"/>
      <c r="C115" s="8"/>
      <c r="D115" s="8"/>
      <c r="E115" s="8"/>
      <c r="F115" s="8"/>
      <c r="G115" s="8"/>
      <c r="H115" s="8"/>
      <c r="I115" s="8"/>
      <c r="J115" s="8"/>
      <c r="K115" s="8"/>
      <c r="L115" s="195"/>
      <c r="M115" s="8"/>
      <c r="N115" s="8"/>
      <c r="O115" s="8"/>
      <c r="P115" s="8"/>
      <c r="Q115" s="8"/>
      <c r="R115" s="8"/>
    </row>
    <row r="116" spans="1:18" s="33" customFormat="1" x14ac:dyDescent="0.35">
      <c r="A116" s="8"/>
      <c r="B116" s="8"/>
      <c r="C116" s="8"/>
      <c r="D116" s="8"/>
      <c r="E116" s="8"/>
      <c r="F116" s="8"/>
      <c r="G116" s="8"/>
      <c r="H116" s="8"/>
      <c r="I116" s="8"/>
      <c r="J116" s="8"/>
      <c r="K116" s="8"/>
      <c r="L116" s="195"/>
      <c r="M116" s="8"/>
      <c r="N116" s="8"/>
      <c r="O116" s="8"/>
      <c r="P116" s="8"/>
      <c r="Q116" s="8"/>
      <c r="R116" s="8"/>
    </row>
    <row r="117" spans="1:18" s="33" customFormat="1" x14ac:dyDescent="0.35">
      <c r="A117" s="8"/>
      <c r="B117" s="8"/>
      <c r="C117" s="8"/>
      <c r="D117" s="8"/>
      <c r="E117" s="8"/>
      <c r="F117" s="8"/>
      <c r="G117" s="8"/>
      <c r="H117" s="8"/>
      <c r="I117" s="8"/>
      <c r="J117" s="8"/>
      <c r="K117" s="8"/>
      <c r="L117" s="195"/>
      <c r="M117" s="8"/>
      <c r="N117" s="8"/>
      <c r="O117" s="8"/>
      <c r="P117" s="8"/>
      <c r="Q117" s="8"/>
      <c r="R117" s="8"/>
    </row>
    <row r="118" spans="1:18" s="33" customFormat="1" x14ac:dyDescent="0.35">
      <c r="A118" s="8"/>
      <c r="B118" s="8"/>
      <c r="C118" s="8"/>
      <c r="D118" s="8"/>
      <c r="E118" s="8"/>
      <c r="F118" s="8"/>
      <c r="G118" s="8"/>
      <c r="H118" s="8"/>
      <c r="I118" s="8"/>
      <c r="J118" s="8"/>
      <c r="K118" s="8"/>
      <c r="L118" s="195"/>
      <c r="M118" s="8"/>
      <c r="N118" s="8"/>
      <c r="O118" s="8"/>
      <c r="P118" s="8"/>
      <c r="Q118" s="8"/>
      <c r="R118" s="8"/>
    </row>
    <row r="119" spans="1:18" s="33" customFormat="1" x14ac:dyDescent="0.35">
      <c r="A119" s="8"/>
      <c r="B119" s="8"/>
      <c r="C119" s="8"/>
      <c r="D119" s="8"/>
      <c r="E119" s="8"/>
      <c r="F119" s="8"/>
      <c r="G119" s="8"/>
      <c r="H119" s="8"/>
      <c r="I119" s="8"/>
      <c r="J119" s="8"/>
      <c r="K119" s="8"/>
      <c r="L119" s="195"/>
      <c r="M119" s="8"/>
      <c r="N119" s="8"/>
      <c r="O119" s="8"/>
      <c r="P119" s="8"/>
      <c r="Q119" s="8"/>
      <c r="R119" s="8"/>
    </row>
    <row r="120" spans="1:18" s="33" customFormat="1" ht="9" customHeight="1" x14ac:dyDescent="0.35">
      <c r="A120" s="8"/>
      <c r="B120" s="8"/>
      <c r="C120" s="8"/>
      <c r="D120" s="8"/>
      <c r="E120" s="8"/>
      <c r="F120" s="8"/>
      <c r="G120" s="8"/>
      <c r="H120" s="8"/>
      <c r="I120" s="8"/>
      <c r="J120" s="8"/>
      <c r="K120" s="8"/>
      <c r="L120" s="195"/>
      <c r="M120" s="8"/>
      <c r="N120" s="8"/>
      <c r="O120" s="8"/>
      <c r="P120" s="8"/>
      <c r="Q120" s="8"/>
      <c r="R120" s="8"/>
    </row>
    <row r="121" spans="1:18" s="33" customFormat="1" x14ac:dyDescent="0.35">
      <c r="A121" s="8"/>
      <c r="B121" s="8"/>
      <c r="C121" s="8"/>
      <c r="D121" s="8"/>
      <c r="E121" s="8"/>
      <c r="F121" s="8"/>
      <c r="G121" s="8"/>
      <c r="H121" s="8"/>
      <c r="I121" s="8"/>
      <c r="J121" s="8"/>
      <c r="K121" s="8"/>
      <c r="L121" s="195"/>
      <c r="M121" s="8"/>
      <c r="N121" s="8"/>
      <c r="O121" s="8"/>
      <c r="P121" s="8"/>
      <c r="Q121" s="8"/>
      <c r="R121" s="8"/>
    </row>
    <row r="122" spans="1:18" s="33" customFormat="1" x14ac:dyDescent="0.35">
      <c r="A122" s="8"/>
      <c r="B122" s="8"/>
      <c r="C122" s="8"/>
      <c r="D122" s="8"/>
      <c r="E122" s="8"/>
      <c r="F122" s="8"/>
      <c r="G122" s="8"/>
      <c r="H122" s="8"/>
      <c r="I122" s="8"/>
      <c r="J122" s="8"/>
      <c r="K122" s="8"/>
      <c r="L122" s="195"/>
      <c r="M122" s="8"/>
      <c r="N122" s="8"/>
      <c r="O122" s="8"/>
      <c r="P122" s="8"/>
      <c r="Q122" s="8"/>
      <c r="R122" s="8"/>
    </row>
    <row r="123" spans="1:18" s="33" customFormat="1" x14ac:dyDescent="0.35">
      <c r="A123" s="8"/>
      <c r="B123" s="8"/>
      <c r="C123" s="8"/>
      <c r="D123" s="8"/>
      <c r="E123" s="8"/>
      <c r="F123" s="8"/>
      <c r="G123" s="8"/>
      <c r="H123" s="8"/>
      <c r="I123" s="8"/>
      <c r="J123" s="8"/>
      <c r="K123" s="8"/>
      <c r="L123" s="195"/>
      <c r="M123" s="8"/>
      <c r="N123" s="8"/>
      <c r="O123" s="8"/>
      <c r="P123" s="8"/>
      <c r="Q123" s="8"/>
      <c r="R123" s="8"/>
    </row>
    <row r="124" spans="1:18" s="33" customFormat="1" x14ac:dyDescent="0.35">
      <c r="A124" s="8"/>
      <c r="B124" s="8"/>
      <c r="C124" s="8"/>
      <c r="D124" s="8"/>
      <c r="E124" s="8"/>
      <c r="F124" s="8"/>
      <c r="G124" s="8"/>
      <c r="H124" s="8"/>
      <c r="I124" s="8"/>
      <c r="J124" s="8"/>
      <c r="K124" s="8"/>
      <c r="L124" s="195"/>
      <c r="M124" s="8"/>
      <c r="N124" s="8"/>
      <c r="O124" s="8"/>
      <c r="P124" s="8"/>
      <c r="Q124" s="8"/>
      <c r="R124" s="8"/>
    </row>
    <row r="125" spans="1:18" s="33" customFormat="1" x14ac:dyDescent="0.35">
      <c r="A125" s="8"/>
      <c r="B125" s="8"/>
      <c r="C125" s="8"/>
      <c r="D125" s="8"/>
      <c r="E125" s="8"/>
      <c r="F125" s="8"/>
      <c r="G125" s="8"/>
      <c r="H125" s="8"/>
      <c r="I125" s="8"/>
      <c r="J125" s="8"/>
      <c r="K125" s="8"/>
      <c r="L125" s="195"/>
      <c r="M125" s="8"/>
      <c r="N125" s="8"/>
      <c r="O125" s="8"/>
      <c r="P125" s="8"/>
      <c r="Q125" s="8"/>
      <c r="R125" s="8"/>
    </row>
  </sheetData>
  <conditionalFormatting sqref="D31:L31 D37:L37">
    <cfRule type="cellIs" dxfId="1" priority="1" stopIfTrue="1" operator="notEqual">
      <formula>TRUE</formula>
    </cfRule>
  </conditionalFormatting>
  <printOptions horizontalCentered="1" verticalCentered="1"/>
  <pageMargins left="0.19685039370078741" right="0.19685039370078741" top="0.39370078740157483" bottom="0.27559055118110237" header="0.19685039370078741" footer="0.11811023622047245"/>
  <pageSetup paperSize="9" scale="60" orientation="landscape" r:id="rId1"/>
  <headerFooter>
    <oddHeader>&amp;L&amp;"Calibri"&amp;11&amp;K000000File: &amp;F Tab: &amp;A&amp;CPage &amp;P of &amp;N&amp;R&amp;"Calibri"&amp;11&amp;K000000File: &amp;F Tab: &amp;A</oddHeader>
  </headerFooter>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FB544-E59E-44EA-8FAE-1469DFE098DC}">
  <sheetPr codeName="Sheet21">
    <tabColor rgb="FF7030A0"/>
  </sheetPr>
  <dimension ref="A1"/>
  <sheetViews>
    <sheetView workbookViewId="0">
      <selection activeCell="Q38" sqref="Q38"/>
    </sheetView>
  </sheetViews>
  <sheetFormatPr defaultColWidth="9" defaultRowHeight="14.5" x14ac:dyDescent="0.35"/>
  <cols>
    <col min="1" max="16384" width="9" style="8"/>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6023-5184-416F-98BD-257295B03849}">
  <sheetPr codeName="Sheet20"/>
  <dimension ref="A1:R44"/>
  <sheetViews>
    <sheetView zoomScale="88" zoomScaleNormal="88" workbookViewId="0">
      <selection activeCell="R32" sqref="R32"/>
    </sheetView>
  </sheetViews>
  <sheetFormatPr defaultColWidth="8.81640625" defaultRowHeight="14.5" x14ac:dyDescent="0.35"/>
  <cols>
    <col min="1" max="1" width="8.81640625" style="8"/>
    <col min="2" max="2" width="37.81640625" style="8" bestFit="1" customWidth="1"/>
    <col min="3" max="3" width="15.81640625" style="8" customWidth="1"/>
    <col min="4" max="7" width="15.81640625" style="195" customWidth="1"/>
    <col min="8" max="15" width="14.81640625" style="8" customWidth="1"/>
    <col min="16" max="16" width="3.7265625" style="8" customWidth="1"/>
    <col min="17" max="16384" width="8.81640625" style="8"/>
  </cols>
  <sheetData>
    <row r="1" spans="1:18" s="195" customFormat="1" ht="23" x14ac:dyDescent="0.5">
      <c r="A1" s="432" t="s">
        <v>305</v>
      </c>
    </row>
    <row r="3" spans="1:18" ht="29" x14ac:dyDescent="0.35">
      <c r="O3" s="418" t="s">
        <v>182</v>
      </c>
    </row>
    <row r="4" spans="1:18" x14ac:dyDescent="0.35">
      <c r="B4" s="189" t="s">
        <v>326</v>
      </c>
      <c r="C4" s="189" t="s">
        <v>31</v>
      </c>
      <c r="D4" s="39" t="s">
        <v>312</v>
      </c>
      <c r="E4" s="39" t="s">
        <v>311</v>
      </c>
      <c r="F4" s="39" t="s">
        <v>36</v>
      </c>
      <c r="G4" s="39" t="s">
        <v>37</v>
      </c>
      <c r="H4" s="39" t="s">
        <v>40</v>
      </c>
      <c r="I4" s="39" t="s">
        <v>39</v>
      </c>
      <c r="J4" s="39" t="s">
        <v>266</v>
      </c>
      <c r="K4" s="39" t="s">
        <v>267</v>
      </c>
      <c r="L4" s="39" t="s">
        <v>268</v>
      </c>
      <c r="M4" s="39" t="s">
        <v>269</v>
      </c>
      <c r="N4" s="39" t="s">
        <v>270</v>
      </c>
      <c r="O4" s="419" t="s">
        <v>183</v>
      </c>
    </row>
    <row r="6" spans="1:18" x14ac:dyDescent="0.35">
      <c r="B6" s="5" t="s">
        <v>27</v>
      </c>
      <c r="Q6" s="195"/>
      <c r="R6" s="195"/>
    </row>
    <row r="7" spans="1:18" x14ac:dyDescent="0.35">
      <c r="B7" s="142" t="str">
        <f>'D&amp;C Forecast UCs, Charges &amp; Xs'!C128</f>
        <v>Lead-in duct</v>
      </c>
      <c r="C7" s="141" t="s">
        <v>103</v>
      </c>
      <c r="D7" s="434">
        <f>'Input data'!D6</f>
        <v>9.3800000000000008</v>
      </c>
      <c r="E7" s="434">
        <f>'Input data'!E6</f>
        <v>9.5500000000000007</v>
      </c>
      <c r="F7" s="188">
        <f>'D&amp;C Forecast UCs, Charges &amp; Xs'!D128</f>
        <v>9.94</v>
      </c>
      <c r="G7" s="188">
        <f>'D&amp;C Forecast UCs, Charges &amp; Xs'!E128</f>
        <v>11.09</v>
      </c>
      <c r="H7" s="188">
        <f>'D&amp;C Forecast UCs, Charges &amp; Xs'!F128</f>
        <v>11.64</v>
      </c>
      <c r="I7" s="188">
        <f>'D&amp;C Forecast UCs, Charges &amp; Xs'!G128</f>
        <v>11.96</v>
      </c>
      <c r="J7" s="188">
        <f>'D&amp;C Forecast UCs, Charges &amp; Xs'!H128</f>
        <v>10.97559518583736</v>
      </c>
      <c r="K7" s="188">
        <f>'D&amp;C Forecast UCs, Charges &amp; Xs'!I128</f>
        <v>10.064902604563187</v>
      </c>
      <c r="L7" s="188">
        <f>'D&amp;C Forecast UCs, Charges &amp; Xs'!J128</f>
        <v>9.2246772187581723</v>
      </c>
      <c r="M7" s="188">
        <f>'D&amp;C Forecast UCs, Charges &amp; Xs'!K128</f>
        <v>8.4505770960404814</v>
      </c>
      <c r="N7" s="188">
        <f>'D&amp;C Forecast UCs, Charges &amp; Xs'!L128</f>
        <v>7.7399990110289663</v>
      </c>
      <c r="O7" s="415">
        <f>'D&amp;C Forecast UCs, Charges &amp; Xs'!O120</f>
        <v>-0.10408633835722969</v>
      </c>
      <c r="Q7" s="195"/>
      <c r="R7" s="195"/>
    </row>
    <row r="8" spans="1:18" x14ac:dyDescent="0.35">
      <c r="B8" s="142" t="str">
        <f>'D&amp;C Forecast UCs, Charges &amp; Xs'!C129</f>
        <v>Spine duct – single bore</v>
      </c>
      <c r="C8" s="141" t="s">
        <v>104</v>
      </c>
      <c r="D8" s="434">
        <f>'Input data'!D7</f>
        <v>0.28999999999999998</v>
      </c>
      <c r="E8" s="434">
        <f>'Input data'!E7</f>
        <v>0.3</v>
      </c>
      <c r="F8" s="188">
        <f>'D&amp;C Forecast UCs, Charges &amp; Xs'!D129</f>
        <v>0.31</v>
      </c>
      <c r="G8" s="188">
        <f>'D&amp;C Forecast UCs, Charges &amp; Xs'!E129</f>
        <v>0.35</v>
      </c>
      <c r="H8" s="188">
        <f>'D&amp;C Forecast UCs, Charges &amp; Xs'!F129</f>
        <v>0.37</v>
      </c>
      <c r="I8" s="188">
        <f>'D&amp;C Forecast UCs, Charges &amp; Xs'!G129</f>
        <v>0.39</v>
      </c>
      <c r="J8" s="188">
        <f>'D&amp;C Forecast UCs, Charges &amp; Xs'!H129</f>
        <v>0.41190374649971051</v>
      </c>
      <c r="K8" s="188">
        <f>'D&amp;C Forecast UCs, Charges &amp; Xs'!I129</f>
        <v>0.43476326110222019</v>
      </c>
      <c r="L8" s="188">
        <f>'D&amp;C Forecast UCs, Charges &amp; Xs'!J129</f>
        <v>0.45867124954188004</v>
      </c>
      <c r="M8" s="188">
        <f>'D&amp;C Forecast UCs, Charges &amp; Xs'!K129</f>
        <v>0.48369420575859812</v>
      </c>
      <c r="N8" s="188">
        <f>'D&amp;C Forecast UCs, Charges &amp; Xs'!L129</f>
        <v>0.51000001624817637</v>
      </c>
      <c r="O8" s="415">
        <f>'D&amp;C Forecast UCs, Charges &amp; Xs'!O121</f>
        <v>3.4385209035782793E-2</v>
      </c>
      <c r="Q8" s="195"/>
      <c r="R8" s="195"/>
    </row>
    <row r="9" spans="1:18" x14ac:dyDescent="0.35">
      <c r="B9" s="142" t="str">
        <f>'D&amp;C Forecast UCs, Charges &amp; Xs'!C130</f>
        <v>Spine duct – 2 bores</v>
      </c>
      <c r="C9" s="141" t="s">
        <v>104</v>
      </c>
      <c r="D9" s="434">
        <f>'Input data'!D8</f>
        <v>0.18</v>
      </c>
      <c r="E9" s="434">
        <f>'Input data'!E8</f>
        <v>0.19</v>
      </c>
      <c r="F9" s="188">
        <f>'D&amp;C Forecast UCs, Charges &amp; Xs'!D130</f>
        <v>0.2</v>
      </c>
      <c r="G9" s="188">
        <f>'D&amp;C Forecast UCs, Charges &amp; Xs'!E130</f>
        <v>0.24</v>
      </c>
      <c r="H9" s="188">
        <f>'D&amp;C Forecast UCs, Charges &amp; Xs'!F130</f>
        <v>0.26</v>
      </c>
      <c r="I9" s="188">
        <f>'D&amp;C Forecast UCs, Charges &amp; Xs'!G130</f>
        <v>0.28000000000000003</v>
      </c>
      <c r="J9" s="188">
        <f>'D&amp;C Forecast UCs, Charges &amp; Xs'!H130</f>
        <v>0.30248483352120864</v>
      </c>
      <c r="K9" s="188">
        <f>'D&amp;C Forecast UCs, Charges &amp; Xs'!I130</f>
        <v>0.32657374215793805</v>
      </c>
      <c r="L9" s="188">
        <f>'D&amp;C Forecast UCs, Charges &amp; Xs'!J130</f>
        <v>0.35241563496818257</v>
      </c>
      <c r="M9" s="188">
        <f>'D&amp;C Forecast UCs, Charges &amp; Xs'!K130</f>
        <v>0.38014892804701067</v>
      </c>
      <c r="N9" s="188">
        <f>'D&amp;C Forecast UCs, Charges &amp; Xs'!L130</f>
        <v>0.41000002124906321</v>
      </c>
      <c r="O9" s="415">
        <f>'D&amp;C Forecast UCs, Charges &amp; Xs'!O122</f>
        <v>5.8524733333881862E-2</v>
      </c>
      <c r="Q9" s="195"/>
      <c r="R9" s="195"/>
    </row>
    <row r="10" spans="1:18" x14ac:dyDescent="0.35">
      <c r="B10" s="142" t="str">
        <f>'D&amp;C Forecast UCs, Charges &amp; Xs'!C131</f>
        <v>Spine duct – 3+ bores</v>
      </c>
      <c r="C10" s="141" t="s">
        <v>104</v>
      </c>
      <c r="D10" s="434">
        <f>'Input data'!D9</f>
        <v>0.13</v>
      </c>
      <c r="E10" s="434">
        <f>'Input data'!E9</f>
        <v>0.14000000000000001</v>
      </c>
      <c r="F10" s="188">
        <f>'D&amp;C Forecast UCs, Charges &amp; Xs'!D131</f>
        <v>0.14000000000000001</v>
      </c>
      <c r="G10" s="188">
        <f>'D&amp;C Forecast UCs, Charges &amp; Xs'!E131</f>
        <v>0.16</v>
      </c>
      <c r="H10" s="188">
        <f>'D&amp;C Forecast UCs, Charges &amp; Xs'!F131</f>
        <v>0.18</v>
      </c>
      <c r="I10" s="188">
        <f>'D&amp;C Forecast UCs, Charges &amp; Xs'!G131</f>
        <v>0.19</v>
      </c>
      <c r="J10" s="188">
        <f>'D&amp;C Forecast UCs, Charges &amp; Xs'!H131</f>
        <v>0.20091870647404778</v>
      </c>
      <c r="K10" s="188">
        <f>'D&amp;C Forecast UCs, Charges &amp; Xs'!I131</f>
        <v>0.21233101917677377</v>
      </c>
      <c r="L10" s="188">
        <f>'D&amp;C Forecast UCs, Charges &amp; Xs'!J131</f>
        <v>0.2242840333980072</v>
      </c>
      <c r="M10" s="188">
        <f>'D&amp;C Forecast UCs, Charges &amp; Xs'!K131</f>
        <v>0.23681225743464615</v>
      </c>
      <c r="N10" s="188">
        <f>'D&amp;C Forecast UCs, Charges &amp; Xs'!L131</f>
        <v>0.25000000824632534</v>
      </c>
      <c r="O10" s="415">
        <f>'D&amp;C Forecast UCs, Charges &amp; Xs'!O123</f>
        <v>3.5688632651621255E-2</v>
      </c>
      <c r="Q10" s="195"/>
      <c r="R10" s="195"/>
    </row>
    <row r="11" spans="1:18" x14ac:dyDescent="0.35">
      <c r="H11" s="195"/>
      <c r="O11" s="416"/>
      <c r="Q11" s="195"/>
      <c r="R11" s="195"/>
    </row>
    <row r="12" spans="1:18" x14ac:dyDescent="0.35">
      <c r="B12" s="5" t="s">
        <v>105</v>
      </c>
      <c r="H12" s="195"/>
      <c r="O12" s="417"/>
      <c r="Q12" s="195"/>
      <c r="R12" s="195"/>
    </row>
    <row r="13" spans="1:18" x14ac:dyDescent="0.35">
      <c r="B13" s="142" t="str">
        <f>'D&amp;C Forecast UCs, Charges &amp; Xs'!C132</f>
        <v>Joint boxes</v>
      </c>
      <c r="C13" s="141" t="s">
        <v>106</v>
      </c>
      <c r="D13" s="434">
        <f>'Input data'!D10</f>
        <v>2.08</v>
      </c>
      <c r="E13" s="434">
        <f>'Input data'!E10</f>
        <v>2.14</v>
      </c>
      <c r="F13" s="188">
        <f>'D&amp;C Forecast UCs, Charges &amp; Xs'!D132</f>
        <v>2.2400000000000002</v>
      </c>
      <c r="G13" s="188">
        <f>'D&amp;C Forecast UCs, Charges &amp; Xs'!E132</f>
        <v>2.5099999999999998</v>
      </c>
      <c r="H13" s="188">
        <f>'D&amp;C Forecast UCs, Charges &amp; Xs'!F132</f>
        <v>2.65</v>
      </c>
      <c r="I13" s="188">
        <f>'D&amp;C Forecast UCs, Charges &amp; Xs'!G132</f>
        <v>2.75</v>
      </c>
      <c r="J13" s="188">
        <f>'D&amp;C Forecast UCs, Charges &amp; Xs'!H132</f>
        <v>2.9257338258618377</v>
      </c>
      <c r="K13" s="188">
        <f>'D&amp;C Forecast UCs, Charges &amp; Xs'!I132</f>
        <v>3.1107484005815995</v>
      </c>
      <c r="L13" s="188">
        <f>'D&amp;C Forecast UCs, Charges &amp; Xs'!J132</f>
        <v>3.3058874436294539</v>
      </c>
      <c r="M13" s="188">
        <f>'D&amp;C Forecast UCs, Charges &amp; Xs'!K132</f>
        <v>3.511827951800278</v>
      </c>
      <c r="N13" s="188">
        <f>'D&amp;C Forecast UCs, Charges &amp; Xs'!L132</f>
        <v>3.7300001434708068</v>
      </c>
      <c r="O13" s="415">
        <f>'D&amp;C Forecast UCs, Charges &amp; Xs'!O124</f>
        <v>4.2124965876727094E-2</v>
      </c>
      <c r="Q13" s="195"/>
      <c r="R13" s="195"/>
    </row>
    <row r="14" spans="1:18" x14ac:dyDescent="0.35">
      <c r="B14" s="142" t="str">
        <f>'D&amp;C Forecast UCs, Charges &amp; Xs'!C133</f>
        <v>Manholes</v>
      </c>
      <c r="C14" s="141" t="s">
        <v>106</v>
      </c>
      <c r="D14" s="434">
        <f>'Input data'!D11</f>
        <v>8.66</v>
      </c>
      <c r="E14" s="434">
        <f>'Input data'!E11</f>
        <v>9</v>
      </c>
      <c r="F14" s="188">
        <f>'D&amp;C Forecast UCs, Charges &amp; Xs'!D133</f>
        <v>9.43</v>
      </c>
      <c r="G14" s="188">
        <f>'D&amp;C Forecast UCs, Charges &amp; Xs'!E133</f>
        <v>10.63</v>
      </c>
      <c r="H14" s="188">
        <f>'D&amp;C Forecast UCs, Charges &amp; Xs'!F133</f>
        <v>11.29</v>
      </c>
      <c r="I14" s="188">
        <f>'D&amp;C Forecast UCs, Charges &amp; Xs'!G133</f>
        <v>11.73</v>
      </c>
      <c r="J14" s="188">
        <f>'D&amp;C Forecast UCs, Charges &amp; Xs'!H133</f>
        <v>12.706251180629284</v>
      </c>
      <c r="K14" s="188">
        <f>'D&amp;C Forecast UCs, Charges &amp; Xs'!I133</f>
        <v>13.755287427110391</v>
      </c>
      <c r="L14" s="188">
        <f>'D&amp;C Forecast UCs, Charges &amp; Xs'!J133</f>
        <v>14.88396704893152</v>
      </c>
      <c r="M14" s="188">
        <f>'D&amp;C Forecast UCs, Charges &amp; Xs'!K133</f>
        <v>16.098777623122519</v>
      </c>
      <c r="N14" s="188">
        <f>'D&amp;C Forecast UCs, Charges &amp; Xs'!L133</f>
        <v>17.410000942275008</v>
      </c>
      <c r="O14" s="415">
        <f>'D&amp;C Forecast UCs, Charges &amp; Xs'!O125</f>
        <v>6.1448626091287206E-2</v>
      </c>
      <c r="Q14" s="195"/>
      <c r="R14" s="195"/>
    </row>
    <row r="15" spans="1:18" x14ac:dyDescent="0.35">
      <c r="H15" s="195"/>
      <c r="O15" s="417"/>
      <c r="Q15" s="195"/>
      <c r="R15" s="195"/>
    </row>
    <row r="16" spans="1:18" x14ac:dyDescent="0.35">
      <c r="B16" s="5" t="s">
        <v>14</v>
      </c>
      <c r="H16" s="195"/>
      <c r="O16" s="417"/>
      <c r="Q16" s="195"/>
      <c r="R16" s="195"/>
    </row>
    <row r="17" spans="2:18" x14ac:dyDescent="0.35">
      <c r="B17" s="141" t="s">
        <v>102</v>
      </c>
      <c r="C17" s="141" t="s">
        <v>100</v>
      </c>
      <c r="D17" s="434">
        <f>'Input data'!D13</f>
        <v>11.56</v>
      </c>
      <c r="E17" s="434">
        <f>'Input data'!E13</f>
        <v>4.8499999999999996</v>
      </c>
      <c r="F17" s="188">
        <f>'Poles Fcast UCs, Charges &amp; Xs'!D100</f>
        <v>5.65</v>
      </c>
      <c r="G17" s="188">
        <f>'Poles Fcast UCs, Charges &amp; Xs'!E100</f>
        <v>6.29</v>
      </c>
      <c r="H17" s="188">
        <f>'Poles Fcast UCs, Charges &amp; Xs'!F100</f>
        <v>6.6</v>
      </c>
      <c r="I17" s="188">
        <f>'Poles Fcast UCs, Charges &amp; Xs'!G100</f>
        <v>6.77</v>
      </c>
      <c r="J17" s="188">
        <f>'Poles Fcast UCs, Charges &amp; Xs'!H100</f>
        <v>6.8321722732037786</v>
      </c>
      <c r="K17" s="188">
        <f>'Poles Fcast UCs, Charges &amp; Xs'!I100</f>
        <v>6.8903637188937772</v>
      </c>
      <c r="L17" s="188">
        <f>'Poles Fcast UCs, Charges &amp; Xs'!J100</f>
        <v>6.9455614903135592</v>
      </c>
      <c r="M17" s="188">
        <f>'Poles Fcast UCs, Charges &amp; Xs'!K100</f>
        <v>6.9981766395600618</v>
      </c>
      <c r="N17" s="188">
        <f>'Poles Fcast UCs, Charges &amp; Xs'!L100</f>
        <v>7.0499999098844777</v>
      </c>
      <c r="O17" s="415">
        <f>'Poles Fcast UCs, Charges &amp; Xs'!O94</f>
        <v>-1.2594746747107921E-2</v>
      </c>
      <c r="Q17" s="195"/>
      <c r="R17" s="195"/>
    </row>
    <row r="18" spans="2:18" x14ac:dyDescent="0.35">
      <c r="B18" s="141" t="s">
        <v>101</v>
      </c>
      <c r="C18" s="141" t="s">
        <v>100</v>
      </c>
      <c r="D18" s="434">
        <f>'Input data'!D14</f>
        <v>4.9400000000000004</v>
      </c>
      <c r="E18" s="434">
        <f>'Input data'!E14</f>
        <v>1.86</v>
      </c>
      <c r="F18" s="188">
        <f>'Poles Fcast UCs, Charges &amp; Xs'!D101</f>
        <v>2.21</v>
      </c>
      <c r="G18" s="188">
        <f>'Poles Fcast UCs, Charges &amp; Xs'!E101</f>
        <v>2.46</v>
      </c>
      <c r="H18" s="188">
        <f>'Poles Fcast UCs, Charges &amp; Xs'!F101</f>
        <v>2.58</v>
      </c>
      <c r="I18" s="188">
        <f>'Poles Fcast UCs, Charges &amp; Xs'!G101</f>
        <v>2.64</v>
      </c>
      <c r="J18" s="188">
        <f>'Poles Fcast UCs, Charges &amp; Xs'!H101</f>
        <v>2.6141459017306965</v>
      </c>
      <c r="K18" s="188">
        <f>'Poles Fcast UCs, Charges &amp; Xs'!I101</f>
        <v>2.5868033803801871</v>
      </c>
      <c r="L18" s="188">
        <f>'Poles Fcast UCs, Charges &amp; Xs'!J101</f>
        <v>2.5584368796045789</v>
      </c>
      <c r="M18" s="188">
        <f>'Poles Fcast UCs, Charges &amp; Xs'!K101</f>
        <v>2.5292672379640448</v>
      </c>
      <c r="N18" s="188">
        <f>'Poles Fcast UCs, Charges &amp; Xs'!L101</f>
        <v>2.4999999167929952</v>
      </c>
      <c r="O18" s="415">
        <f>'Poles Fcast UCs, Charges &amp; Xs'!O95</f>
        <v>-3.1571462568980468E-2</v>
      </c>
      <c r="Q18" s="195"/>
      <c r="R18" s="195"/>
    </row>
    <row r="19" spans="2:18" x14ac:dyDescent="0.35">
      <c r="B19" s="142" t="str">
        <f>'Poles Fcast UCs, Charges &amp; Xs'!C102</f>
        <v>Pole top equipment</v>
      </c>
      <c r="C19" s="141"/>
      <c r="D19" s="434">
        <f>'Input data'!D15</f>
        <v>3.58</v>
      </c>
      <c r="E19" s="434">
        <f>'Input data'!E15</f>
        <v>1.42</v>
      </c>
      <c r="F19" s="188">
        <f>'Poles Fcast UCs, Charges &amp; Xs'!D102</f>
        <v>1.66</v>
      </c>
      <c r="G19" s="188">
        <f>'Poles Fcast UCs, Charges &amp; Xs'!E102</f>
        <v>1.85</v>
      </c>
      <c r="H19" s="188">
        <f>'Poles Fcast UCs, Charges &amp; Xs'!F102</f>
        <v>1.94</v>
      </c>
      <c r="I19" s="188">
        <f>'Poles Fcast UCs, Charges &amp; Xs'!G102</f>
        <v>1.98</v>
      </c>
      <c r="J19" s="188">
        <f>'Poles Fcast UCs, Charges &amp; Xs'!H102</f>
        <v>0</v>
      </c>
      <c r="K19" s="188">
        <f>'Poles Fcast UCs, Charges &amp; Xs'!I102</f>
        <v>0</v>
      </c>
      <c r="L19" s="188">
        <f>'Poles Fcast UCs, Charges &amp; Xs'!J102</f>
        <v>0</v>
      </c>
      <c r="M19" s="188">
        <f>'Poles Fcast UCs, Charges &amp; Xs'!K102</f>
        <v>0</v>
      </c>
      <c r="N19" s="188">
        <f>'Poles Fcast UCs, Charges &amp; Xs'!L102</f>
        <v>0</v>
      </c>
      <c r="O19" s="415" t="str">
        <f>'Poles Fcast UCs, Charges &amp; Xs'!O96</f>
        <v>n/a</v>
      </c>
      <c r="Q19" s="195"/>
      <c r="R19" s="195"/>
    </row>
    <row r="20" spans="2:18" x14ac:dyDescent="0.35">
      <c r="B20" s="142" t="str">
        <f>'Poles Fcast UCs, Charges &amp; Xs'!C103</f>
        <v>Cable up a pole (per cable)</v>
      </c>
      <c r="C20" s="141" t="s">
        <v>107</v>
      </c>
      <c r="D20" s="434">
        <f>'Input data'!D16</f>
        <v>2.33</v>
      </c>
      <c r="E20" s="434">
        <f>'Input data'!E16</f>
        <v>0.94</v>
      </c>
      <c r="F20" s="188">
        <f>'Poles Fcast UCs, Charges &amp; Xs'!D103</f>
        <v>1.1000000000000001</v>
      </c>
      <c r="G20" s="188">
        <f>'Poles Fcast UCs, Charges &amp; Xs'!E103</f>
        <v>1.23</v>
      </c>
      <c r="H20" s="188">
        <f>'Poles Fcast UCs, Charges &amp; Xs'!F103</f>
        <v>1.29</v>
      </c>
      <c r="I20" s="188">
        <f>'Poles Fcast UCs, Charges &amp; Xs'!G103</f>
        <v>1.32</v>
      </c>
      <c r="J20" s="188">
        <f>'Poles Fcast UCs, Charges &amp; Xs'!H103</f>
        <v>0</v>
      </c>
      <c r="K20" s="188">
        <f>'Poles Fcast UCs, Charges &amp; Xs'!I103</f>
        <v>0</v>
      </c>
      <c r="L20" s="188">
        <f>'Poles Fcast UCs, Charges &amp; Xs'!J103</f>
        <v>0</v>
      </c>
      <c r="M20" s="188">
        <f>'Poles Fcast UCs, Charges &amp; Xs'!K103</f>
        <v>0</v>
      </c>
      <c r="N20" s="188">
        <f>'Poles Fcast UCs, Charges &amp; Xs'!L103</f>
        <v>0</v>
      </c>
      <c r="O20" s="415" t="str">
        <f>'Poles Fcast UCs, Charges &amp; Xs'!O97</f>
        <v>n/a</v>
      </c>
      <c r="Q20" s="195"/>
      <c r="R20" s="195"/>
    </row>
    <row r="21" spans="2:18" s="195" customFormat="1" x14ac:dyDescent="0.35">
      <c r="O21" s="417"/>
    </row>
    <row r="22" spans="2:18" s="195" customFormat="1" x14ac:dyDescent="0.35">
      <c r="B22" s="141" t="s">
        <v>219</v>
      </c>
      <c r="C22" s="141" t="s">
        <v>220</v>
      </c>
      <c r="D22" s="188">
        <f t="shared" ref="D22:E22" si="0">D17*(1-D31) +D18*D31</f>
        <v>5.81085119867023</v>
      </c>
      <c r="E22" s="188">
        <f t="shared" si="0"/>
        <v>2.2533300731154062</v>
      </c>
      <c r="F22" s="188">
        <f t="shared" ref="F22:N22" si="1">F17*(1-F31) +F18*F31</f>
        <v>2.6625269068618715</v>
      </c>
      <c r="G22" s="188">
        <f t="shared" si="1"/>
        <v>2.9638308294421423</v>
      </c>
      <c r="H22" s="188">
        <f t="shared" si="1"/>
        <v>3.108825048135095</v>
      </c>
      <c r="I22" s="188">
        <f t="shared" si="1"/>
        <v>3.1832953852731198</v>
      </c>
      <c r="J22" s="188">
        <f t="shared" si="1"/>
        <v>3.1690210258424756</v>
      </c>
      <c r="K22" s="188">
        <f t="shared" si="1"/>
        <v>3.1529303712176828</v>
      </c>
      <c r="L22" s="188">
        <f t="shared" si="1"/>
        <v>3.1355566267271748</v>
      </c>
      <c r="M22" s="188">
        <f t="shared" si="1"/>
        <v>3.1171456532402617</v>
      </c>
      <c r="N22" s="188">
        <f t="shared" si="1"/>
        <v>3.0985456793206776</v>
      </c>
    </row>
    <row r="24" spans="2:18" s="195" customFormat="1" x14ac:dyDescent="0.35">
      <c r="B24" s="199" t="s">
        <v>308</v>
      </c>
    </row>
    <row r="25" spans="2:18" s="195" customFormat="1" x14ac:dyDescent="0.35">
      <c r="B25" s="195" t="s">
        <v>306</v>
      </c>
      <c r="D25" s="436"/>
      <c r="E25" s="433">
        <v>0.9</v>
      </c>
      <c r="F25" s="433">
        <v>0.9</v>
      </c>
      <c r="G25" s="433">
        <v>0.9</v>
      </c>
      <c r="H25" s="433">
        <v>0.9</v>
      </c>
      <c r="I25" s="433">
        <v>0.9</v>
      </c>
      <c r="J25" s="433">
        <v>1</v>
      </c>
      <c r="K25" s="433">
        <v>1</v>
      </c>
      <c r="L25" s="433">
        <v>1</v>
      </c>
      <c r="M25" s="433">
        <v>1</v>
      </c>
      <c r="N25" s="433">
        <v>1</v>
      </c>
    </row>
    <row r="26" spans="2:18" s="195" customFormat="1" x14ac:dyDescent="0.35">
      <c r="B26" s="195" t="s">
        <v>307</v>
      </c>
      <c r="D26" s="436"/>
      <c r="E26" s="433">
        <v>0.1</v>
      </c>
      <c r="F26" s="433">
        <v>0.1</v>
      </c>
      <c r="G26" s="433">
        <v>0.1</v>
      </c>
      <c r="H26" s="433">
        <v>0.1</v>
      </c>
      <c r="I26" s="433">
        <v>0.1</v>
      </c>
      <c r="J26" s="433">
        <v>0</v>
      </c>
      <c r="K26" s="433">
        <v>0</v>
      </c>
      <c r="L26" s="433">
        <v>0</v>
      </c>
      <c r="M26" s="433">
        <v>0</v>
      </c>
      <c r="N26" s="433">
        <v>0</v>
      </c>
    </row>
    <row r="27" spans="2:18" s="195" customFormat="1" x14ac:dyDescent="0.35"/>
    <row r="28" spans="2:18" x14ac:dyDescent="0.35">
      <c r="B28" s="199" t="s">
        <v>277</v>
      </c>
      <c r="D28" s="39" t="s">
        <v>312</v>
      </c>
      <c r="E28" s="39" t="s">
        <v>311</v>
      </c>
      <c r="F28" s="39" t="s">
        <v>36</v>
      </c>
      <c r="G28" s="39" t="s">
        <v>37</v>
      </c>
      <c r="H28" s="39" t="s">
        <v>40</v>
      </c>
      <c r="I28" s="39" t="s">
        <v>39</v>
      </c>
      <c r="J28" s="39" t="s">
        <v>266</v>
      </c>
      <c r="K28" s="39" t="s">
        <v>267</v>
      </c>
      <c r="L28" s="39" t="s">
        <v>268</v>
      </c>
      <c r="M28" s="39" t="s">
        <v>269</v>
      </c>
      <c r="N28" s="39" t="s">
        <v>270</v>
      </c>
    </row>
    <row r="29" spans="2:18" x14ac:dyDescent="0.35">
      <c r="B29" s="8" t="str">
        <f>'Poles Fcast UCs, Charges &amp; Xs'!C51</f>
        <v>Total attachments - Single</v>
      </c>
      <c r="C29" s="195"/>
      <c r="F29" s="194">
        <f>'Poles Fcast UCs, Charges &amp; Xs'!D51</f>
        <v>17030086.750905767</v>
      </c>
      <c r="G29" s="194">
        <f>'Poles Fcast UCs, Charges &amp; Xs'!E51</f>
        <v>17112195.824779872</v>
      </c>
      <c r="H29" s="194">
        <f>'Poles Fcast UCs, Charges &amp; Xs'!F51</f>
        <v>17245657.915037308</v>
      </c>
      <c r="I29" s="194">
        <f>'Poles Fcast UCs, Charges &amp; Xs'!G51</f>
        <v>17365073.061682492</v>
      </c>
      <c r="J29" s="194">
        <f>'Poles Fcast UCs, Charges &amp; Xs'!H51</f>
        <v>17472582.978910506</v>
      </c>
      <c r="K29" s="194">
        <f>'Poles Fcast UCs, Charges &amp; Xs'!I51</f>
        <v>17548686.998962857</v>
      </c>
      <c r="L29" s="194">
        <f>'Poles Fcast UCs, Charges &amp; Xs'!J51</f>
        <v>17592746.510160025</v>
      </c>
      <c r="M29" s="194">
        <f>'Poles Fcast UCs, Charges &amp; Xs'!K51</f>
        <v>17634899.548403017</v>
      </c>
      <c r="N29" s="194">
        <f>'Poles Fcast UCs, Charges &amp; Xs'!L51</f>
        <v>17685533.079546962</v>
      </c>
    </row>
    <row r="30" spans="2:18" x14ac:dyDescent="0.35">
      <c r="B30" s="195" t="str">
        <f>'Poles Fcast UCs, Charges &amp; Xs'!C52</f>
        <v>Total attachments - Multi</v>
      </c>
      <c r="F30" s="194">
        <f>'Poles Fcast UCs, Charges &amp; Xs'!D52</f>
        <v>2579629.0847532051</v>
      </c>
      <c r="G30" s="194">
        <f>'Poles Fcast UCs, Charges &amp; Xs'!E52</f>
        <v>2592066.5407794653</v>
      </c>
      <c r="H30" s="194">
        <f>'Poles Fcast UCs, Charges &amp; Xs'!F52</f>
        <v>2612282.684993865</v>
      </c>
      <c r="I30" s="194">
        <f>'Poles Fcast UCs, Charges &amp; Xs'!G52</f>
        <v>2630371.0711513571</v>
      </c>
      <c r="J30" s="194">
        <f>'Poles Fcast UCs, Charges &amp; Xs'!H52</f>
        <v>2646656.1149938996</v>
      </c>
      <c r="K30" s="194">
        <f>'Poles Fcast UCs, Charges &amp; Xs'!I52</f>
        <v>2658183.9566581966</v>
      </c>
      <c r="L30" s="194">
        <f>'Poles Fcast UCs, Charges &amp; Xs'!J52</f>
        <v>2664857.862564059</v>
      </c>
      <c r="M30" s="194">
        <f>'Poles Fcast UCs, Charges &amp; Xs'!K52</f>
        <v>2671242.9858492678</v>
      </c>
      <c r="N30" s="194">
        <f>'Poles Fcast UCs, Charges &amp; Xs'!L52</f>
        <v>2678912.6901504351</v>
      </c>
    </row>
    <row r="31" spans="2:18" s="195" customFormat="1" x14ac:dyDescent="0.35">
      <c r="B31" s="195" t="s">
        <v>218</v>
      </c>
      <c r="D31" s="435">
        <f t="shared" ref="D31" si="2">E31</f>
        <v>0.86845148056340937</v>
      </c>
      <c r="E31" s="435">
        <f>F31</f>
        <v>0.86845148056340937</v>
      </c>
      <c r="F31" s="244">
        <f t="shared" ref="F31:G31" si="3">F29/SUM(F29:F30)</f>
        <v>0.86845148056340937</v>
      </c>
      <c r="G31" s="244">
        <f t="shared" si="3"/>
        <v>0.86845148056340937</v>
      </c>
      <c r="H31" s="244">
        <f t="shared" ref="H31:N31" si="4">H29/SUM(H29:H30)</f>
        <v>0.86845148056340915</v>
      </c>
      <c r="I31" s="244">
        <f t="shared" si="4"/>
        <v>0.86845148056340926</v>
      </c>
      <c r="J31" s="244">
        <f t="shared" si="4"/>
        <v>0.86845148056340926</v>
      </c>
      <c r="K31" s="244">
        <f t="shared" si="4"/>
        <v>0.86845148056340937</v>
      </c>
      <c r="L31" s="244">
        <f t="shared" si="4"/>
        <v>0.86845148056340926</v>
      </c>
      <c r="M31" s="244">
        <f t="shared" si="4"/>
        <v>0.86845148056340926</v>
      </c>
      <c r="N31" s="244">
        <f t="shared" si="4"/>
        <v>0.86845148056340926</v>
      </c>
    </row>
    <row r="32" spans="2:18" x14ac:dyDescent="0.35">
      <c r="B32" s="195"/>
    </row>
    <row r="33" spans="2:14" s="195" customFormat="1" x14ac:dyDescent="0.35"/>
    <row r="34" spans="2:14" x14ac:dyDescent="0.35">
      <c r="B34" s="199" t="s">
        <v>216</v>
      </c>
      <c r="D34" s="436"/>
      <c r="E34" s="436"/>
      <c r="F34" s="39" t="s">
        <v>36</v>
      </c>
      <c r="G34" s="39" t="s">
        <v>37</v>
      </c>
      <c r="H34" s="39" t="s">
        <v>40</v>
      </c>
      <c r="I34" s="39" t="s">
        <v>39</v>
      </c>
      <c r="J34" s="39" t="s">
        <v>266</v>
      </c>
      <c r="K34" s="39" t="s">
        <v>267</v>
      </c>
      <c r="L34" s="39" t="s">
        <v>268</v>
      </c>
      <c r="M34" s="39" t="s">
        <v>269</v>
      </c>
      <c r="N34" s="39" t="s">
        <v>270</v>
      </c>
    </row>
    <row r="35" spans="2:14" x14ac:dyDescent="0.35">
      <c r="B35" s="7" t="str">
        <f>'D&amp;C Forecast UCs, Charges &amp; Xs'!C66</f>
        <v>Lead-in duct</v>
      </c>
      <c r="C35" s="7"/>
      <c r="D35" s="437"/>
      <c r="E35" s="437"/>
      <c r="F35" s="63">
        <f>'D&amp;C Forecast UCs, Charges &amp; Xs'!D66</f>
        <v>-2.5631540668864687</v>
      </c>
      <c r="G35" s="63">
        <f>'D&amp;C Forecast UCs, Charges &amp; Xs'!E66</f>
        <v>40.1112082861152</v>
      </c>
      <c r="H35" s="63">
        <f>'D&amp;C Forecast UCs, Charges &amp; Xs'!F66</f>
        <v>78.815976271985363</v>
      </c>
      <c r="I35" s="63">
        <f>'D&amp;C Forecast UCs, Charges &amp; Xs'!G66</f>
        <v>82.213088244380828</v>
      </c>
      <c r="J35" s="63">
        <f>'D&amp;C Forecast UCs, Charges &amp; Xs'!H66</f>
        <v>100.61416033045643</v>
      </c>
      <c r="K35" s="63">
        <f>'D&amp;C Forecast UCs, Charges &amp; Xs'!I66</f>
        <v>103.51671192442201</v>
      </c>
      <c r="L35" s="63">
        <f>'D&amp;C Forecast UCs, Charges &amp; Xs'!J66</f>
        <v>103.50067958109332</v>
      </c>
      <c r="M35" s="63">
        <f>'D&amp;C Forecast UCs, Charges &amp; Xs'!K66</f>
        <v>102.25621606897371</v>
      </c>
      <c r="N35" s="63">
        <f>'D&amp;C Forecast UCs, Charges &amp; Xs'!L66</f>
        <v>103.64840553143999</v>
      </c>
    </row>
    <row r="36" spans="2:14" x14ac:dyDescent="0.35">
      <c r="B36" s="7" t="str">
        <f>'D&amp;C Forecast UCs, Charges &amp; Xs'!C67</f>
        <v>Spine duct – single bore</v>
      </c>
      <c r="D36" s="436"/>
      <c r="E36" s="436"/>
      <c r="F36" s="63">
        <f>'D&amp;C Forecast UCs, Charges &amp; Xs'!D67</f>
        <v>-5.2397482707065137</v>
      </c>
      <c r="G36" s="63">
        <f>'D&amp;C Forecast UCs, Charges &amp; Xs'!E67</f>
        <v>152.63864215859886</v>
      </c>
      <c r="H36" s="63">
        <f>'D&amp;C Forecast UCs, Charges &amp; Xs'!F67</f>
        <v>292.99981181055205</v>
      </c>
      <c r="I36" s="63">
        <f>'D&amp;C Forecast UCs, Charges &amp; Xs'!G67</f>
        <v>303.8546839978377</v>
      </c>
      <c r="J36" s="63">
        <f>'D&amp;C Forecast UCs, Charges &amp; Xs'!H67</f>
        <v>368.39661922336177</v>
      </c>
      <c r="K36" s="63">
        <f>'D&amp;C Forecast UCs, Charges &amp; Xs'!I67</f>
        <v>377.30724459095302</v>
      </c>
      <c r="L36" s="63">
        <f>'D&amp;C Forecast UCs, Charges &amp; Xs'!J67</f>
        <v>375.49219970241148</v>
      </c>
      <c r="M36" s="63">
        <f>'D&amp;C Forecast UCs, Charges &amp; Xs'!K67</f>
        <v>369.05882720557469</v>
      </c>
      <c r="N36" s="63">
        <f>'D&amp;C Forecast UCs, Charges &amp; Xs'!L67</f>
        <v>373.07793132944272</v>
      </c>
    </row>
    <row r="37" spans="2:14" x14ac:dyDescent="0.35">
      <c r="B37" s="7" t="str">
        <f>'D&amp;C Forecast UCs, Charges &amp; Xs'!C68</f>
        <v>Spine duct – 2 bores</v>
      </c>
      <c r="D37" s="436"/>
      <c r="E37" s="436"/>
      <c r="F37" s="63">
        <f>'D&amp;C Forecast UCs, Charges &amp; Xs'!D68</f>
        <v>-1.2053792363387714</v>
      </c>
      <c r="G37" s="63">
        <f>'D&amp;C Forecast UCs, Charges &amp; Xs'!E68</f>
        <v>39.999668328035696</v>
      </c>
      <c r="H37" s="63">
        <f>'D&amp;C Forecast UCs, Charges &amp; Xs'!F68</f>
        <v>76.135651888486336</v>
      </c>
      <c r="I37" s="63">
        <f>'D&amp;C Forecast UCs, Charges &amp; Xs'!G68</f>
        <v>78.561853325230572</v>
      </c>
      <c r="J37" s="63">
        <f>'D&amp;C Forecast UCs, Charges &amp; Xs'!H68</f>
        <v>94.660146115155754</v>
      </c>
      <c r="K37" s="63">
        <f>'D&amp;C Forecast UCs, Charges &amp; Xs'!I68</f>
        <v>96.567767537147802</v>
      </c>
      <c r="L37" s="63">
        <f>'D&amp;C Forecast UCs, Charges &amp; Xs'!J68</f>
        <v>95.758777439764501</v>
      </c>
      <c r="M37" s="63">
        <f>'D&amp;C Forecast UCs, Charges &amp; Xs'!K68</f>
        <v>93.736864810150905</v>
      </c>
      <c r="N37" s="63">
        <f>'D&amp;C Forecast UCs, Charges &amp; Xs'!L68</f>
        <v>94.634566844563082</v>
      </c>
    </row>
    <row r="38" spans="2:14" x14ac:dyDescent="0.35">
      <c r="B38" s="7" t="str">
        <f>'D&amp;C Forecast UCs, Charges &amp; Xs'!C69</f>
        <v>Spine duct – 3+ bores</v>
      </c>
      <c r="D38" s="436"/>
      <c r="E38" s="436"/>
      <c r="F38" s="63">
        <f>'D&amp;C Forecast UCs, Charges &amp; Xs'!D69</f>
        <v>0.95929553978135118</v>
      </c>
      <c r="G38" s="63">
        <f>'D&amp;C Forecast UCs, Charges &amp; Xs'!E69</f>
        <v>60.688649021926196</v>
      </c>
      <c r="H38" s="63">
        <f>'D&amp;C Forecast UCs, Charges &amp; Xs'!F69</f>
        <v>111.38071445423681</v>
      </c>
      <c r="I38" s="63">
        <f>'D&amp;C Forecast UCs, Charges &amp; Xs'!G69</f>
        <v>113.90689292090879</v>
      </c>
      <c r="J38" s="63">
        <f>'D&amp;C Forecast UCs, Charges &amp; Xs'!H69</f>
        <v>135.16930101711574</v>
      </c>
      <c r="K38" s="63">
        <f>'D&amp;C Forecast UCs, Charges &amp; Xs'!I69</f>
        <v>136.87081735991609</v>
      </c>
      <c r="L38" s="63">
        <f>'D&amp;C Forecast UCs, Charges &amp; Xs'!J69</f>
        <v>134.65555602036954</v>
      </c>
      <c r="M38" s="63">
        <f>'D&amp;C Forecast UCs, Charges &amp; Xs'!K69</f>
        <v>130.63647480847689</v>
      </c>
      <c r="N38" s="63">
        <f>'D&amp;C Forecast UCs, Charges &amp; Xs'!L69</f>
        <v>131.24792200381523</v>
      </c>
    </row>
    <row r="39" spans="2:14" x14ac:dyDescent="0.35">
      <c r="B39" s="7" t="str">
        <f>'D&amp;C Forecast UCs, Charges &amp; Xs'!C70</f>
        <v>Joint boxes</v>
      </c>
      <c r="D39" s="436"/>
      <c r="E39" s="436"/>
      <c r="F39" s="63">
        <f>'D&amp;C Forecast UCs, Charges &amp; Xs'!D70</f>
        <v>-1.0011344992893498</v>
      </c>
      <c r="G39" s="63">
        <f>'D&amp;C Forecast UCs, Charges &amp; Xs'!E70</f>
        <v>71.01465334075418</v>
      </c>
      <c r="H39" s="63">
        <f>'D&amp;C Forecast UCs, Charges &amp; Xs'!F70</f>
        <v>133.64453299175491</v>
      </c>
      <c r="I39" s="63">
        <f>'D&amp;C Forecast UCs, Charges &amp; Xs'!G70</f>
        <v>137.62935798366286</v>
      </c>
      <c r="J39" s="63">
        <f>'D&amp;C Forecast UCs, Charges &amp; Xs'!H70</f>
        <v>165.18440130371073</v>
      </c>
      <c r="K39" s="63">
        <f>'D&amp;C Forecast UCs, Charges &amp; Xs'!I70</f>
        <v>168.24425334407542</v>
      </c>
      <c r="L39" s="63">
        <f>'D&amp;C Forecast UCs, Charges &amp; Xs'!J70</f>
        <v>166.53205541125809</v>
      </c>
      <c r="M39" s="63">
        <f>'D&amp;C Forecast UCs, Charges &amp; Xs'!K70</f>
        <v>162.67567816961514</v>
      </c>
      <c r="N39" s="63">
        <f>'D&amp;C Forecast UCs, Charges &amp; Xs'!L70</f>
        <v>164.01054658684365</v>
      </c>
    </row>
    <row r="40" spans="2:14" x14ac:dyDescent="0.35">
      <c r="B40" s="299" t="str">
        <f>'D&amp;C Forecast UCs, Charges &amp; Xs'!C71</f>
        <v>Manholes</v>
      </c>
      <c r="C40" s="6"/>
      <c r="D40" s="438"/>
      <c r="E40" s="438"/>
      <c r="F40" s="66">
        <f>'D&amp;C Forecast UCs, Charges &amp; Xs'!D71</f>
        <v>-3.2795136660144451</v>
      </c>
      <c r="G40" s="66">
        <f>'D&amp;C Forecast UCs, Charges &amp; Xs'!E71</f>
        <v>50.023505256130598</v>
      </c>
      <c r="H40" s="66">
        <f>'D&amp;C Forecast UCs, Charges &amp; Xs'!F71</f>
        <v>97.832407293340538</v>
      </c>
      <c r="I40" s="66">
        <f>'D&amp;C Forecast UCs, Charges &amp; Xs'!G71</f>
        <v>101.59065966371377</v>
      </c>
      <c r="J40" s="66">
        <f>'D&amp;C Forecast UCs, Charges &amp; Xs'!H71</f>
        <v>123.71314745606777</v>
      </c>
      <c r="K40" s="66">
        <f>'D&amp;C Forecast UCs, Charges &amp; Xs'!I71</f>
        <v>126.84301986797482</v>
      </c>
      <c r="L40" s="66">
        <f>'D&amp;C Forecast UCs, Charges &amp; Xs'!J71</f>
        <v>126.44588196139614</v>
      </c>
      <c r="M40" s="66">
        <f>'D&amp;C Forecast UCs, Charges &amp; Xs'!K71</f>
        <v>124.50841773018701</v>
      </c>
      <c r="N40" s="66">
        <f>'D&amp;C Forecast UCs, Charges &amp; Xs'!L71</f>
        <v>126.10425952033005</v>
      </c>
    </row>
    <row r="41" spans="2:14" x14ac:dyDescent="0.35">
      <c r="B41" s="7" t="str">
        <f>'D&amp;C Forecast UCs, Charges &amp; Xs'!C72</f>
        <v>Sub-total</v>
      </c>
      <c r="D41" s="436"/>
      <c r="E41" s="436"/>
      <c r="F41" s="63">
        <f>'D&amp;C Forecast UCs, Charges &amp; Xs'!D72</f>
        <v>-12.329634199454198</v>
      </c>
      <c r="G41" s="63">
        <f>'D&amp;C Forecast UCs, Charges &amp; Xs'!E72</f>
        <v>414.47632639156075</v>
      </c>
      <c r="H41" s="63">
        <f>'D&amp;C Forecast UCs, Charges &amp; Xs'!F72</f>
        <v>790.80909471035602</v>
      </c>
      <c r="I41" s="63">
        <f>'D&amp;C Forecast UCs, Charges &amp; Xs'!G72</f>
        <v>817.75653613573456</v>
      </c>
      <c r="J41" s="63">
        <f>'D&amp;C Forecast UCs, Charges &amp; Xs'!H72</f>
        <v>987.73777544586812</v>
      </c>
      <c r="K41" s="63">
        <f>'D&amp;C Forecast UCs, Charges &amp; Xs'!I72</f>
        <v>1009.3498146244891</v>
      </c>
      <c r="L41" s="63">
        <f>'D&amp;C Forecast UCs, Charges &amp; Xs'!J72</f>
        <v>1002.3851501162931</v>
      </c>
      <c r="M41" s="63">
        <f>'D&amp;C Forecast UCs, Charges &amp; Xs'!K72</f>
        <v>982.87247879297843</v>
      </c>
      <c r="N41" s="63">
        <f>'D&amp;C Forecast UCs, Charges &amp; Xs'!L72</f>
        <v>992.72363181643482</v>
      </c>
    </row>
    <row r="42" spans="2:14" x14ac:dyDescent="0.35">
      <c r="D42" s="436"/>
      <c r="E42" s="436"/>
      <c r="F42" s="425" t="b">
        <f t="shared" ref="F42:G42" si="5">F41=SUM(F35:F40)</f>
        <v>1</v>
      </c>
      <c r="G42" s="425" t="b">
        <f t="shared" si="5"/>
        <v>1</v>
      </c>
      <c r="H42" s="425" t="b">
        <f>H41=SUM(H35:H40)</f>
        <v>1</v>
      </c>
      <c r="I42" s="425" t="b">
        <f t="shared" ref="I42:N42" si="6">I41=SUM(I35:I40)</f>
        <v>1</v>
      </c>
      <c r="J42" s="425" t="b">
        <f t="shared" si="6"/>
        <v>1</v>
      </c>
      <c r="K42" s="425" t="b">
        <f t="shared" si="6"/>
        <v>1</v>
      </c>
      <c r="L42" s="425" t="b">
        <f t="shared" si="6"/>
        <v>1</v>
      </c>
      <c r="M42" s="425" t="b">
        <f t="shared" si="6"/>
        <v>1</v>
      </c>
      <c r="N42" s="425" t="b">
        <f t="shared" si="6"/>
        <v>1</v>
      </c>
    </row>
    <row r="43" spans="2:14" x14ac:dyDescent="0.35">
      <c r="D43" s="436"/>
      <c r="E43" s="436"/>
      <c r="I43" s="195"/>
      <c r="J43" s="195"/>
      <c r="K43" s="195"/>
      <c r="L43" s="195"/>
      <c r="M43" s="195"/>
      <c r="N43" s="195"/>
    </row>
    <row r="44" spans="2:14" x14ac:dyDescent="0.35">
      <c r="B44" s="8" t="s">
        <v>217</v>
      </c>
      <c r="D44" s="439">
        <f t="shared" ref="D44" si="7">E44</f>
        <v>1.5318245238768924</v>
      </c>
      <c r="E44" s="439">
        <f>F44</f>
        <v>1.5318245238768924</v>
      </c>
      <c r="F44" s="294">
        <f t="shared" ref="F44:G44" si="8">F41/SUM(F35:F38)</f>
        <v>1.5318245238768924</v>
      </c>
      <c r="G44" s="294">
        <f t="shared" si="8"/>
        <v>1.4124826688584609</v>
      </c>
      <c r="H44" s="294">
        <f>H41/SUM(H35:H38)</f>
        <v>1.4138452231893384</v>
      </c>
      <c r="I44" s="294">
        <f t="shared" ref="I44:N44" si="9">I41/SUM(I35:I38)</f>
        <v>1.4134916465989527</v>
      </c>
      <c r="J44" s="294">
        <f t="shared" si="9"/>
        <v>1.4133957058106612</v>
      </c>
      <c r="K44" s="294">
        <f t="shared" si="9"/>
        <v>1.4131355854508645</v>
      </c>
      <c r="L44" s="294">
        <f t="shared" si="9"/>
        <v>1.4129897921950347</v>
      </c>
      <c r="M44" s="294">
        <f t="shared" si="9"/>
        <v>1.41280565115301</v>
      </c>
      <c r="N44" s="294">
        <f t="shared" si="9"/>
        <v>1.4129108481014485</v>
      </c>
    </row>
  </sheetData>
  <phoneticPr fontId="51" type="noConversion"/>
  <conditionalFormatting sqref="F42:N42">
    <cfRule type="cellIs" dxfId="0" priority="1" stopIfTrue="1" operator="notEqual">
      <formula>TRUE</formula>
    </cfRule>
  </conditionalFormatting>
  <pageMargins left="0.31496062992125984" right="0.31496062992125984" top="0.55118110236220474" bottom="0.55118110236220474" header="0.31496062992125984" footer="0.31496062992125984"/>
  <pageSetup paperSize="9" scale="90" orientation="landscape" r:id="rId1"/>
  <headerFooter>
    <oddHeader>&amp;L&amp;"Calibri"&amp;11&amp;K000000File: &amp;F Tab: &amp;A&amp;CPrinted: &amp;D &amp;T&amp;R&amp;"Calibri"&amp;11&amp;K000000File: &amp;F Tab: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Contents</vt:lpstr>
      <vt:lpstr>Style Guidelines</vt:lpstr>
      <vt:lpstr>Model Map</vt:lpstr>
      <vt:lpstr>Inputs -&gt;</vt:lpstr>
      <vt:lpstr>Input data</vt:lpstr>
      <vt:lpstr>Parameters and Assumptions</vt:lpstr>
      <vt:lpstr>Calculations -&gt;</vt:lpstr>
      <vt:lpstr>Network Adjs</vt:lpstr>
      <vt:lpstr>Duct and Chambers&gt;&gt;&gt;</vt:lpstr>
      <vt:lpstr>D&amp;C Vols</vt:lpstr>
      <vt:lpstr>LDD forecasts</vt:lpstr>
      <vt:lpstr>D&amp;C Cost Forecasts</vt:lpstr>
      <vt:lpstr>D&amp;C Forecast UCs, Charges &amp; Xs</vt:lpstr>
      <vt:lpstr>Poles&gt;&gt;&gt;</vt:lpstr>
      <vt:lpstr>Pole volume forecasts</vt:lpstr>
      <vt:lpstr>Poles main COW Forecasts</vt:lpstr>
      <vt:lpstr>Poles costs forecasts</vt:lpstr>
      <vt:lpstr>Poles Fcast UCs, Charges &amp; Xs</vt:lpstr>
      <vt:lpstr>Outputs -&gt;</vt:lpstr>
      <vt:lpstr>Model outputs</vt:lpstr>
      <vt:lpstr>asset_inflation</vt:lpstr>
      <vt:lpstr>CPI</vt:lpstr>
      <vt:lpstr>duct_asset_life</vt:lpstr>
      <vt:lpstr>Leadin_discount</vt:lpstr>
      <vt:lpstr>Manifold_uplift_ratio</vt:lpstr>
      <vt:lpstr>Million</vt:lpstr>
      <vt:lpstr>Opex_CVE</vt:lpstr>
      <vt:lpstr>Opex_eff</vt:lpstr>
      <vt:lpstr>opex_inflation</vt:lpstr>
      <vt:lpstr>pole_asset_life</vt:lpstr>
      <vt:lpstr>RPI</vt:lpstr>
      <vt:lpstr>Thousand</vt:lpstr>
      <vt:lpstr>Workbook.Objective</vt:lpstr>
      <vt:lpstr>Workbook.Title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2025-03-18T15:44:52Z</dcterms:created>
  <dcterms:modified xsi:type="dcterms:W3CDTF">2025-03-18T15:44:56Z</dcterms:modified>
  <cp:category/>
  <cp:contentStatus/>
</cp:coreProperties>
</file>