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pivotTables/pivotTable2.xml" ContentType="application/vnd.openxmlformats-officedocument.spreadsheetml.pivotTable+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pivotCache/pivotCacheDefinition2.xml" ContentType="application/vnd.openxmlformats-officedocument.spreadsheetml.pivotCacheDefinition+xml"/>
  <Override PartName="/docProps/custom.xml" ContentType="application/vnd.openxmlformats-officedocument.custom-properties+xml"/>
  <Override PartName="/xl/worksheets/sheet1.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pivotCache/pivotCacheRecords2.xml" ContentType="application/vnd.openxmlformats-officedocument.spreadsheetml.pivotCacheRecords+xml"/>
  <Override PartName="/xl/ctrlProps/ctrlProp2.xml" ContentType="application/vnd.ms-excel.contro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pivotTables/pivotTable1.xml" ContentType="application/vnd.openxmlformats-officedocument.spreadsheetml.pivotTable+xml"/>
  <Override PartName="/xl/workbook.xml" ContentType="application/vnd.ms-excel.sheet.macroEnabled.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pivotCache/pivotCacheDefinition1.xml" ContentType="application/vnd.openxmlformats-officedocument.spreadsheetml.pivotCacheDefinition+xml"/>
  <Default Extension="vml" ContentType="application/vnd.openxmlformats-officedocument.vmlDrawing"/>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pivotCache/pivotCacheRecords1.xml" ContentType="application/vnd.openxmlformats-officedocument.spreadsheetml.pivotCacheRecords+xml"/>
  <Override PartName="/xl/ctrlProps/ctrlProp1.xml" ContentType="application/vnd.ms-excel.controlproperties+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codeName="{8C4F1C90-05EB-6A55-5F09-09C24B55AC0B}"/>
  <workbookPr codeName="ThisWorkbook" hidePivotFieldList="1" defaultThemeVersion="124226"/>
  <bookViews>
    <workbookView xWindow="-3510" yWindow="2130" windowWidth="8805" windowHeight="5655"/>
  </bookViews>
  <sheets>
    <sheet name="Admin" sheetId="1" r:id="rId1"/>
    <sheet name="Model_Overview" sheetId="49" r:id="rId2"/>
    <sheet name="Outputs---&gt;" sheetId="21" r:id="rId3"/>
    <sheet name="Graphs" sheetId="29" r:id="rId4"/>
    <sheet name="Sensitivity Tables" sheetId="44" r:id="rId5"/>
    <sheet name="Industry Model Adj---&gt;" sheetId="46" r:id="rId6"/>
    <sheet name="Industry Cost Inputs" sheetId="41" r:id="rId7"/>
    <sheet name="Industry Per CP Per Cust Costs" sheetId="40" r:id="rId8"/>
    <sheet name="Industry - Mkt Size Inputs" sheetId="39" r:id="rId9"/>
    <sheet name="Industry Model Outputs" sheetId="38" r:id="rId10"/>
    <sheet name="Industry Cost Inputs - Original" sheetId="24" r:id="rId11"/>
    <sheet name="Independent Model---&gt;" sheetId="33" r:id="rId12"/>
    <sheet name="Independent Cost Inputs" sheetId="14" r:id="rId13"/>
    <sheet name="Sensitivities" sheetId="36" state="hidden" r:id="rId14"/>
    <sheet name="Independent Mkt Size Inputs " sheetId="19" r:id="rId15"/>
    <sheet name="Scenarios" sheetId="47" r:id="rId16"/>
    <sheet name="Independent Model Outputs" sheetId="22" r:id="rId17"/>
    <sheet name="USN Calc---&gt;" sheetId="15" r:id="rId18"/>
    <sheet name="USN - Process Workings" sheetId="7" r:id="rId19"/>
    <sheet name="USN - Systems Workings" sheetId="8" r:id="rId20"/>
    <sheet name="USN - Central Costs" sheetId="4" r:id="rId21"/>
    <sheet name="TPV Calc---&gt;" sheetId="16" r:id="rId22"/>
    <sheet name="TPV - Process Workings" sheetId="9" r:id="rId23"/>
    <sheet name="TPV - Systems Workings" sheetId="10" r:id="rId24"/>
    <sheet name="TPV - Central Costs" sheetId="5" r:id="rId25"/>
    <sheet name="TPV2 Calc---&gt;" sheetId="50" r:id="rId26"/>
    <sheet name="TPV2 - Process Workings" sheetId="51" r:id="rId27"/>
    <sheet name="TPV2 - Systems Workings" sheetId="52" r:id="rId28"/>
    <sheet name="TPV2 - Central Costs" sheetId="53" r:id="rId29"/>
    <sheet name="TPV3 Calc---&gt;" sheetId="54" r:id="rId30"/>
    <sheet name="TPV3 - Process Workings" sheetId="55" r:id="rId31"/>
    <sheet name="TPV3 - Systems Workings" sheetId="56" r:id="rId32"/>
    <sheet name="TPV3 - Central Costs" sheetId="57" r:id="rId33"/>
    <sheet name="LPL Calc---&gt;" sheetId="17" r:id="rId34"/>
    <sheet name="LPL - Process Workings" sheetId="11" r:id="rId35"/>
    <sheet name="LPL - Systems Workings" sheetId="12" r:id="rId36"/>
    <sheet name="LPL - Central Costs" sheetId="6" r:id="rId37"/>
    <sheet name="Misc---&gt;" sheetId="48" r:id="rId38"/>
    <sheet name="NPV Model" sheetId="28" r:id="rId39"/>
    <sheet name="Independent Per CP Summary" sheetId="3" r:id="rId40"/>
    <sheet name="Cost-Template" sheetId="23" r:id="rId41"/>
  </sheets>
  <definedNames>
    <definedName name="Broadband_ratio">'Independent Cost Inputs'!$G$84</definedName>
    <definedName name="Bundle_CallTime">'Independent Cost Inputs'!$G$81</definedName>
    <definedName name="Bundle_Name">'Independent Cost Inputs'!$G$85</definedName>
    <definedName name="Bundle_ratio">'Independent Cost Inputs'!$G$85</definedName>
    <definedName name="Call_Time_Blend">'Independent Cost Inputs'!$G$88</definedName>
    <definedName name="CnP_CallTime">'Independent Cost Inputs'!$G$81</definedName>
    <definedName name="CnP_Ratio">'Independent Cost Inputs'!$G$85</definedName>
    <definedName name="Day_Rate">'Independent Cost Inputs'!$G$71</definedName>
    <definedName name="Day_Rate_High">'Independent Cost Inputs'!$H$71</definedName>
    <definedName name="Day_Rate_Low">'Independent Cost Inputs'!$G$71</definedName>
    <definedName name="Day_Rate_Mid">'Independent Cost Inputs'!$H$71</definedName>
    <definedName name="FTE_Cost">'Independent Cost Inputs'!$G$74</definedName>
    <definedName name="MAC_Calltime">'Independent Cost Inputs'!$G$82</definedName>
    <definedName name="NoT_Calltime">'Independent Cost Inputs'!$G$80</definedName>
    <definedName name="OnlineSalesPc">'Independent Cost Inputs'!$G$90</definedName>
    <definedName name="OPEXtoCAPEX">'Independent Cost Inputs'!$G$72</definedName>
    <definedName name="Sensitivity_Selector">'Independent Model Outputs'!$F$64</definedName>
    <definedName name="Switches_High">'Independent Cost Inputs'!$J$49</definedName>
    <definedName name="Switches_Low">'Independent Cost Inputs'!$H$49</definedName>
    <definedName name="Switches_Medium">'Independent Cost Inputs'!$I$49</definedName>
    <definedName name="Training_Cost_CSA">'Independent Cost Inputs'!$G$73</definedName>
    <definedName name="Voice_ratio">'Independent Cost Inputs'!$G$86</definedName>
  </definedNames>
  <calcPr calcId="125725"/>
  <pivotCaches>
    <pivotCache cacheId="0" r:id="rId42"/>
    <pivotCache cacheId="1" r:id="rId43"/>
  </pivotCaches>
</workbook>
</file>

<file path=xl/calcChain.xml><?xml version="1.0" encoding="utf-8"?>
<calcChain xmlns="http://schemas.openxmlformats.org/spreadsheetml/2006/main">
  <c r="F64" i="22"/>
  <c r="F24" i="7" l="1"/>
  <c r="F23"/>
  <c r="F12"/>
  <c r="F13"/>
  <c r="F39" i="4"/>
  <c r="F36" i="9"/>
  <c r="F12"/>
  <c r="F13"/>
  <c r="F14"/>
  <c r="F24"/>
  <c r="F25"/>
  <c r="F26"/>
  <c r="F83" i="10"/>
  <c r="F82"/>
  <c r="F80"/>
  <c r="F79"/>
  <c r="F78"/>
  <c r="F74"/>
  <c r="F73"/>
  <c r="F71"/>
  <c r="F70"/>
  <c r="F69"/>
  <c r="F65"/>
  <c r="F64"/>
  <c r="F62"/>
  <c r="F61"/>
  <c r="F60"/>
  <c r="F56"/>
  <c r="F55"/>
  <c r="F53"/>
  <c r="F52"/>
  <c r="F51"/>
  <c r="F47"/>
  <c r="F46"/>
  <c r="F44"/>
  <c r="F21" i="5"/>
  <c r="F39"/>
  <c r="F36" i="51"/>
  <c r="F24"/>
  <c r="F25"/>
  <c r="F26"/>
  <c r="F12"/>
  <c r="F13"/>
  <c r="F14"/>
  <c r="F83" i="52"/>
  <c r="F82"/>
  <c r="F80"/>
  <c r="F79"/>
  <c r="F78"/>
  <c r="F74"/>
  <c r="F73"/>
  <c r="F71"/>
  <c r="F70"/>
  <c r="F69"/>
  <c r="F65"/>
  <c r="F64"/>
  <c r="F62"/>
  <c r="F61"/>
  <c r="F60"/>
  <c r="F56"/>
  <c r="F55"/>
  <c r="F53"/>
  <c r="F52"/>
  <c r="F51"/>
  <c r="F47"/>
  <c r="F46"/>
  <c r="F44"/>
  <c r="F21" i="53"/>
  <c r="F39"/>
  <c r="F14" i="55"/>
  <c r="F13"/>
  <c r="F12"/>
  <c r="F26"/>
  <c r="F25"/>
  <c r="F24"/>
  <c r="F36"/>
  <c r="F39" i="57"/>
  <c r="F36" i="11"/>
  <c r="F35"/>
  <c r="F34"/>
  <c r="F33"/>
  <c r="F29"/>
  <c r="F28"/>
  <c r="F25"/>
  <c r="F24"/>
  <c r="F23"/>
  <c r="F83" i="12"/>
  <c r="F82"/>
  <c r="F80"/>
  <c r="F79"/>
  <c r="F78"/>
  <c r="F74"/>
  <c r="F73"/>
  <c r="F71"/>
  <c r="F70"/>
  <c r="F69"/>
  <c r="F65"/>
  <c r="F64"/>
  <c r="F62"/>
  <c r="F61"/>
  <c r="F60"/>
  <c r="F56"/>
  <c r="F55"/>
  <c r="F53"/>
  <c r="F52"/>
  <c r="F51"/>
  <c r="F47"/>
  <c r="F46"/>
  <c r="F44"/>
  <c r="F43"/>
  <c r="F42"/>
  <c r="F38"/>
  <c r="F37"/>
  <c r="F35"/>
  <c r="F34"/>
  <c r="F33"/>
  <c r="F29"/>
  <c r="F28"/>
  <c r="D50" i="22" l="1"/>
  <c r="G50"/>
  <c r="H50"/>
  <c r="I50"/>
  <c r="J50"/>
  <c r="K50"/>
  <c r="I58" l="1"/>
  <c r="J58" s="1"/>
  <c r="I49"/>
  <c r="J49" s="1"/>
  <c r="F8" i="47" l="1"/>
  <c r="M10" i="24" l="1"/>
  <c r="M9"/>
  <c r="M8"/>
  <c r="L251"/>
  <c r="G100" i="14" l="1"/>
  <c r="G73" l="1"/>
  <c r="G80"/>
  <c r="G85"/>
  <c r="G93"/>
  <c r="G102"/>
  <c r="G74"/>
  <c r="G81"/>
  <c r="G86"/>
  <c r="G95"/>
  <c r="G71"/>
  <c r="G76"/>
  <c r="G82"/>
  <c r="G90"/>
  <c r="G98"/>
  <c r="G72"/>
  <c r="G78"/>
  <c r="G84"/>
  <c r="G92"/>
  <c r="E47" i="36"/>
  <c r="E48"/>
  <c r="E46"/>
  <c r="J95" i="14" l="1"/>
  <c r="J49"/>
  <c r="I49"/>
  <c r="H49"/>
  <c r="AT48"/>
  <c r="AS48"/>
  <c r="AR48"/>
  <c r="AK48"/>
  <c r="AJ48"/>
  <c r="AI48"/>
  <c r="AB48"/>
  <c r="AA48"/>
  <c r="Z48"/>
  <c r="S48"/>
  <c r="R48"/>
  <c r="Q48"/>
  <c r="S47"/>
  <c r="AB47" s="1"/>
  <c r="AK47" s="1"/>
  <c r="R47"/>
  <c r="AA47" s="1"/>
  <c r="AJ47" s="1"/>
  <c r="Q47"/>
  <c r="AR47" s="1"/>
  <c r="AT18"/>
  <c r="AS18"/>
  <c r="AR18"/>
  <c r="AK18"/>
  <c r="AJ18"/>
  <c r="AI18"/>
  <c r="S18"/>
  <c r="R18"/>
  <c r="Q18"/>
  <c r="J18"/>
  <c r="I18"/>
  <c r="H18"/>
  <c r="Z18"/>
  <c r="AS49" l="1"/>
  <c r="S49"/>
  <c r="AI49"/>
  <c r="AS47"/>
  <c r="Z49"/>
  <c r="AJ49"/>
  <c r="AT49"/>
  <c r="Z47"/>
  <c r="AI47" s="1"/>
  <c r="AT47"/>
  <c r="Q49"/>
  <c r="AA49"/>
  <c r="AK49"/>
  <c r="R49"/>
  <c r="AB49"/>
  <c r="AR49"/>
  <c r="AJ56" l="1"/>
  <c r="AR45"/>
  <c r="AB45"/>
  <c r="R45"/>
  <c r="H45"/>
  <c r="AK39"/>
  <c r="AA39"/>
  <c r="Q39"/>
  <c r="AT36"/>
  <c r="AJ36"/>
  <c r="Z36"/>
  <c r="J36"/>
  <c r="AS33"/>
  <c r="AI33"/>
  <c r="S33"/>
  <c r="I33"/>
  <c r="AR30"/>
  <c r="AB30"/>
  <c r="R30"/>
  <c r="AK27"/>
  <c r="AA27"/>
  <c r="AJ23"/>
  <c r="J15"/>
  <c r="AJ62"/>
  <c r="AA56"/>
  <c r="AK45"/>
  <c r="AA45"/>
  <c r="Q45"/>
  <c r="AT39"/>
  <c r="AJ39"/>
  <c r="Z39"/>
  <c r="J39"/>
  <c r="AS36"/>
  <c r="AI36"/>
  <c r="S36"/>
  <c r="I36"/>
  <c r="AR33"/>
  <c r="AB33"/>
  <c r="R33"/>
  <c r="H33"/>
  <c r="AK30"/>
  <c r="AA30"/>
  <c r="Q30"/>
  <c r="AT27"/>
  <c r="AJ27"/>
  <c r="Z27"/>
  <c r="J27"/>
  <c r="AS23"/>
  <c r="AI23"/>
  <c r="S23"/>
  <c r="I23"/>
  <c r="AS15"/>
  <c r="AI15"/>
  <c r="S15"/>
  <c r="I15"/>
  <c r="AI11"/>
  <c r="S11"/>
  <c r="I11"/>
  <c r="Z15"/>
  <c r="AJ11"/>
  <c r="I62"/>
  <c r="R56"/>
  <c r="AT45"/>
  <c r="AJ45"/>
  <c r="Z45"/>
  <c r="J45"/>
  <c r="AS39"/>
  <c r="AI39"/>
  <c r="S39"/>
  <c r="I39"/>
  <c r="AR36"/>
  <c r="AB36"/>
  <c r="R36"/>
  <c r="H36"/>
  <c r="AK33"/>
  <c r="AA33"/>
  <c r="Q33"/>
  <c r="AT30"/>
  <c r="AJ30"/>
  <c r="Z30"/>
  <c r="J30"/>
  <c r="AS27"/>
  <c r="AI27"/>
  <c r="S27"/>
  <c r="I27"/>
  <c r="AR23"/>
  <c r="AB23"/>
  <c r="R23"/>
  <c r="H23"/>
  <c r="AR15"/>
  <c r="AB15"/>
  <c r="R15"/>
  <c r="H15"/>
  <c r="AB11"/>
  <c r="R11"/>
  <c r="H11"/>
  <c r="Q27"/>
  <c r="J23"/>
  <c r="AJ15"/>
  <c r="Z11"/>
  <c r="AS56"/>
  <c r="I56"/>
  <c r="AS45"/>
  <c r="AI45"/>
  <c r="S45"/>
  <c r="I45"/>
  <c r="AR39"/>
  <c r="AB39"/>
  <c r="R39"/>
  <c r="H39"/>
  <c r="AK36"/>
  <c r="AA36"/>
  <c r="Q36"/>
  <c r="AT33"/>
  <c r="AJ33"/>
  <c r="Z33"/>
  <c r="J33"/>
  <c r="AS30"/>
  <c r="AI30"/>
  <c r="S30"/>
  <c r="I30"/>
  <c r="AR27"/>
  <c r="AB27"/>
  <c r="R27"/>
  <c r="H27"/>
  <c r="AK23"/>
  <c r="AA23"/>
  <c r="Q23"/>
  <c r="AK15"/>
  <c r="AA15"/>
  <c r="Q15"/>
  <c r="AK11"/>
  <c r="AA11"/>
  <c r="Q11"/>
  <c r="H30"/>
  <c r="AT23"/>
  <c r="Z23"/>
  <c r="AT15"/>
  <c r="J11"/>
  <c r="AA18"/>
  <c r="AB18"/>
  <c r="H42" i="5" l="1"/>
  <c r="I42"/>
  <c r="G42"/>
  <c r="G39"/>
  <c r="H39"/>
  <c r="I39"/>
  <c r="H38"/>
  <c r="I38"/>
  <c r="G38"/>
  <c r="H33"/>
  <c r="I33"/>
  <c r="G33"/>
  <c r="G30"/>
  <c r="H30"/>
  <c r="I30"/>
  <c r="H29"/>
  <c r="I29"/>
  <c r="G29"/>
  <c r="F43"/>
  <c r="F42"/>
  <c r="F40"/>
  <c r="F38"/>
  <c r="F37"/>
  <c r="F36"/>
  <c r="F35"/>
  <c r="F34"/>
  <c r="F33"/>
  <c r="F32"/>
  <c r="F31"/>
  <c r="F30"/>
  <c r="F29"/>
  <c r="F28"/>
  <c r="H42" i="53"/>
  <c r="I42"/>
  <c r="G42"/>
  <c r="G39"/>
  <c r="H39"/>
  <c r="I39"/>
  <c r="H38"/>
  <c r="I38"/>
  <c r="G38"/>
  <c r="H33"/>
  <c r="I33"/>
  <c r="G33"/>
  <c r="H29"/>
  <c r="I29"/>
  <c r="H30"/>
  <c r="I30"/>
  <c r="G30"/>
  <c r="G29"/>
  <c r="F43"/>
  <c r="F42"/>
  <c r="F40"/>
  <c r="F38"/>
  <c r="F37"/>
  <c r="F35"/>
  <c r="F34"/>
  <c r="F33"/>
  <c r="F32"/>
  <c r="F31"/>
  <c r="F30"/>
  <c r="F29"/>
  <c r="F28"/>
  <c r="H42" i="57"/>
  <c r="I42"/>
  <c r="G42"/>
  <c r="G39"/>
  <c r="H39"/>
  <c r="I39"/>
  <c r="H38"/>
  <c r="I38"/>
  <c r="G38"/>
  <c r="I33"/>
  <c r="G33"/>
  <c r="H29"/>
  <c r="I29"/>
  <c r="H30"/>
  <c r="I30"/>
  <c r="G30"/>
  <c r="G29"/>
  <c r="F43"/>
  <c r="F42"/>
  <c r="F40"/>
  <c r="F38"/>
  <c r="F37"/>
  <c r="F36"/>
  <c r="F35"/>
  <c r="F34"/>
  <c r="F33"/>
  <c r="F32"/>
  <c r="F31"/>
  <c r="F30"/>
  <c r="F29"/>
  <c r="F28"/>
  <c r="F109" i="22" l="1"/>
  <c r="J118"/>
  <c r="J16" s="1"/>
  <c r="H155" i="29" s="1"/>
  <c r="J117" i="22"/>
  <c r="J15" s="1"/>
  <c r="J116"/>
  <c r="J14" s="1"/>
  <c r="H153" i="29" s="1"/>
  <c r="J112" i="22"/>
  <c r="I16" s="1"/>
  <c r="G155" i="29" s="1"/>
  <c r="J111" i="22"/>
  <c r="I15" s="1"/>
  <c r="J110"/>
  <c r="I14" s="1"/>
  <c r="G153" i="29" s="1"/>
  <c r="J88" i="22"/>
  <c r="J11" s="1"/>
  <c r="H150" i="29" s="1"/>
  <c r="J87" i="22"/>
  <c r="J10" s="1"/>
  <c r="J86"/>
  <c r="J9" s="1"/>
  <c r="H148" i="29" s="1"/>
  <c r="J82" i="22"/>
  <c r="I11" s="1"/>
  <c r="G150" i="29" s="1"/>
  <c r="J81" i="22"/>
  <c r="I10" s="1"/>
  <c r="G149" i="29" s="1"/>
  <c r="G25" s="1"/>
  <c r="J80" i="22"/>
  <c r="I9" s="1"/>
  <c r="G148" i="29" s="1"/>
  <c r="Q16" i="23"/>
  <c r="P16"/>
  <c r="O16"/>
  <c r="N16"/>
  <c r="M16"/>
  <c r="L16"/>
  <c r="K16"/>
  <c r="J16"/>
  <c r="I16"/>
  <c r="I79" i="52"/>
  <c r="I78"/>
  <c r="I24" i="57"/>
  <c r="I20"/>
  <c r="I15"/>
  <c r="I12"/>
  <c r="I11"/>
  <c r="I79" i="56"/>
  <c r="I78"/>
  <c r="I73"/>
  <c r="I70"/>
  <c r="I69"/>
  <c r="I61"/>
  <c r="I60"/>
  <c r="I52"/>
  <c r="I51"/>
  <c r="I43"/>
  <c r="I42"/>
  <c r="I34"/>
  <c r="I33"/>
  <c r="I25"/>
  <c r="I24"/>
  <c r="I12"/>
  <c r="I11"/>
  <c r="I34" i="55"/>
  <c r="I25"/>
  <c r="I24"/>
  <c r="I23"/>
  <c r="I13"/>
  <c r="I12"/>
  <c r="I11"/>
  <c r="H24" i="57"/>
  <c r="H20"/>
  <c r="H12"/>
  <c r="H11"/>
  <c r="H79" i="56"/>
  <c r="H78"/>
  <c r="H73"/>
  <c r="H70"/>
  <c r="H69"/>
  <c r="H61"/>
  <c r="H60"/>
  <c r="H52"/>
  <c r="H51"/>
  <c r="H43"/>
  <c r="H42"/>
  <c r="H34"/>
  <c r="H33"/>
  <c r="H25"/>
  <c r="H24"/>
  <c r="H12"/>
  <c r="H11"/>
  <c r="H34" i="55"/>
  <c r="H35" s="1"/>
  <c r="H25"/>
  <c r="H24"/>
  <c r="H23"/>
  <c r="H13"/>
  <c r="H12"/>
  <c r="H11"/>
  <c r="G24" i="57"/>
  <c r="G20"/>
  <c r="G15"/>
  <c r="G12"/>
  <c r="G11"/>
  <c r="G79" i="56"/>
  <c r="G78"/>
  <c r="G73"/>
  <c r="G70"/>
  <c r="G69"/>
  <c r="G61"/>
  <c r="G60"/>
  <c r="G52"/>
  <c r="G51"/>
  <c r="G43"/>
  <c r="G42"/>
  <c r="G34"/>
  <c r="G33"/>
  <c r="G25"/>
  <c r="G24"/>
  <c r="G12"/>
  <c r="G11"/>
  <c r="G34" i="55"/>
  <c r="G35" s="1"/>
  <c r="G25"/>
  <c r="G24"/>
  <c r="G23"/>
  <c r="G13"/>
  <c r="G12"/>
  <c r="G11"/>
  <c r="F25" i="57"/>
  <c r="F24"/>
  <c r="F23"/>
  <c r="F22"/>
  <c r="I21"/>
  <c r="H21"/>
  <c r="G21"/>
  <c r="F20"/>
  <c r="F17"/>
  <c r="F16"/>
  <c r="F15"/>
  <c r="F14"/>
  <c r="F13"/>
  <c r="F12"/>
  <c r="F11"/>
  <c r="C2"/>
  <c r="F83" i="56"/>
  <c r="F82"/>
  <c r="F81"/>
  <c r="F80"/>
  <c r="F79"/>
  <c r="F78"/>
  <c r="F77"/>
  <c r="F75"/>
  <c r="F74"/>
  <c r="F73"/>
  <c r="F72"/>
  <c r="F71"/>
  <c r="F70"/>
  <c r="F69"/>
  <c r="F68"/>
  <c r="F66"/>
  <c r="F65"/>
  <c r="F64"/>
  <c r="F63"/>
  <c r="F62"/>
  <c r="F61"/>
  <c r="F60"/>
  <c r="F59"/>
  <c r="F57"/>
  <c r="F56"/>
  <c r="F55"/>
  <c r="F54"/>
  <c r="F53"/>
  <c r="F52"/>
  <c r="F51"/>
  <c r="F50"/>
  <c r="F48"/>
  <c r="F47"/>
  <c r="F46"/>
  <c r="F45"/>
  <c r="F44"/>
  <c r="F43"/>
  <c r="F42"/>
  <c r="F41"/>
  <c r="F39"/>
  <c r="F38"/>
  <c r="F37"/>
  <c r="F36"/>
  <c r="F35"/>
  <c r="F34"/>
  <c r="F33"/>
  <c r="F32"/>
  <c r="F29"/>
  <c r="F28"/>
  <c r="F27"/>
  <c r="F26"/>
  <c r="F25"/>
  <c r="F24"/>
  <c r="F23"/>
  <c r="F17"/>
  <c r="F16"/>
  <c r="F15"/>
  <c r="F14"/>
  <c r="F13"/>
  <c r="F12"/>
  <c r="F11"/>
  <c r="C2"/>
  <c r="F42" i="55"/>
  <c r="F41"/>
  <c r="F39"/>
  <c r="F37"/>
  <c r="F35"/>
  <c r="I35"/>
  <c r="F34"/>
  <c r="F33"/>
  <c r="F30"/>
  <c r="F29"/>
  <c r="F28"/>
  <c r="F27"/>
  <c r="F23"/>
  <c r="F22"/>
  <c r="F19"/>
  <c r="F18"/>
  <c r="F17"/>
  <c r="F16"/>
  <c r="F15"/>
  <c r="F11"/>
  <c r="C2"/>
  <c r="P51" i="3" l="1"/>
  <c r="E316" i="29" s="1"/>
  <c r="P82" i="3"/>
  <c r="J82"/>
  <c r="J51"/>
  <c r="E303" i="29" s="1"/>
  <c r="P87" i="3"/>
  <c r="H57" i="28"/>
  <c r="H154" i="29"/>
  <c r="H26" s="1"/>
  <c r="H116" i="28"/>
  <c r="I116" s="1"/>
  <c r="J116" s="1"/>
  <c r="K116" s="1"/>
  <c r="L116" s="1"/>
  <c r="M116" s="1"/>
  <c r="N116" s="1"/>
  <c r="O116" s="1"/>
  <c r="P116" s="1"/>
  <c r="Q116" s="1"/>
  <c r="H51"/>
  <c r="G154" i="29"/>
  <c r="G26" s="1"/>
  <c r="H110" i="28"/>
  <c r="G115"/>
  <c r="G56"/>
  <c r="H149" i="29"/>
  <c r="H25" s="1"/>
  <c r="G50" i="28"/>
  <c r="G109"/>
  <c r="F115" i="22"/>
  <c r="F79"/>
  <c r="F85"/>
  <c r="I24" i="53"/>
  <c r="I20"/>
  <c r="I15"/>
  <c r="I12"/>
  <c r="I11"/>
  <c r="H24"/>
  <c r="H20"/>
  <c r="H12"/>
  <c r="H11"/>
  <c r="G24"/>
  <c r="G20"/>
  <c r="G15"/>
  <c r="G12"/>
  <c r="G11"/>
  <c r="I73" i="52"/>
  <c r="I70"/>
  <c r="I69"/>
  <c r="I61"/>
  <c r="I60"/>
  <c r="I52"/>
  <c r="I51"/>
  <c r="I43"/>
  <c r="I42"/>
  <c r="I34"/>
  <c r="I33"/>
  <c r="I25"/>
  <c r="I24"/>
  <c r="I12"/>
  <c r="I11"/>
  <c r="H79"/>
  <c r="H78"/>
  <c r="H73"/>
  <c r="H70"/>
  <c r="H69"/>
  <c r="H61"/>
  <c r="H60"/>
  <c r="H52"/>
  <c r="H51"/>
  <c r="H43"/>
  <c r="H42"/>
  <c r="H34"/>
  <c r="H33"/>
  <c r="H25"/>
  <c r="H24"/>
  <c r="H12"/>
  <c r="H11"/>
  <c r="G79"/>
  <c r="G78"/>
  <c r="G73"/>
  <c r="G70"/>
  <c r="G69"/>
  <c r="G61"/>
  <c r="G60"/>
  <c r="G52"/>
  <c r="G51"/>
  <c r="G43"/>
  <c r="G42"/>
  <c r="G34"/>
  <c r="G33"/>
  <c r="G25"/>
  <c r="G24"/>
  <c r="G12"/>
  <c r="G11"/>
  <c r="I11" i="51"/>
  <c r="I25"/>
  <c r="I24"/>
  <c r="I23"/>
  <c r="I13"/>
  <c r="I12"/>
  <c r="H25"/>
  <c r="H24"/>
  <c r="H23"/>
  <c r="H13"/>
  <c r="H12"/>
  <c r="H11"/>
  <c r="G25"/>
  <c r="G24"/>
  <c r="G23"/>
  <c r="G11"/>
  <c r="G13"/>
  <c r="G12"/>
  <c r="F25" i="53"/>
  <c r="F24"/>
  <c r="F23"/>
  <c r="F22"/>
  <c r="I21"/>
  <c r="H21"/>
  <c r="G21"/>
  <c r="F20"/>
  <c r="F17"/>
  <c r="F16"/>
  <c r="F15"/>
  <c r="F14"/>
  <c r="F13"/>
  <c r="F12"/>
  <c r="F11"/>
  <c r="C2"/>
  <c r="F43" i="52"/>
  <c r="F42"/>
  <c r="F41"/>
  <c r="F39"/>
  <c r="F38"/>
  <c r="F37"/>
  <c r="F36"/>
  <c r="F35"/>
  <c r="F34"/>
  <c r="F33"/>
  <c r="F32"/>
  <c r="F29"/>
  <c r="F28"/>
  <c r="F27"/>
  <c r="F26"/>
  <c r="F25"/>
  <c r="F24"/>
  <c r="F23"/>
  <c r="F17"/>
  <c r="F16"/>
  <c r="F15"/>
  <c r="F14"/>
  <c r="F13"/>
  <c r="F12"/>
  <c r="F11"/>
  <c r="C2"/>
  <c r="F42" i="51"/>
  <c r="F41"/>
  <c r="F39"/>
  <c r="F37"/>
  <c r="F35"/>
  <c r="F34"/>
  <c r="F33"/>
  <c r="F32"/>
  <c r="F30"/>
  <c r="F29"/>
  <c r="F28"/>
  <c r="F27"/>
  <c r="F23"/>
  <c r="F22"/>
  <c r="F21"/>
  <c r="F19"/>
  <c r="F18"/>
  <c r="F17"/>
  <c r="F16"/>
  <c r="F15"/>
  <c r="F11"/>
  <c r="C2"/>
  <c r="I34"/>
  <c r="I35" s="1"/>
  <c r="H34"/>
  <c r="H35" s="1"/>
  <c r="G34"/>
  <c r="G35" s="1"/>
  <c r="O87" i="3" l="1"/>
  <c r="O82"/>
  <c r="O51"/>
  <c r="E289" i="29" s="1"/>
  <c r="I82" i="3"/>
  <c r="I51"/>
  <c r="E276" i="29" s="1"/>
  <c r="H111" i="28"/>
  <c r="I110"/>
  <c r="J110" s="1"/>
  <c r="K110" s="1"/>
  <c r="L110" s="1"/>
  <c r="M110" s="1"/>
  <c r="N110" s="1"/>
  <c r="O110" s="1"/>
  <c r="P110" s="1"/>
  <c r="Q110" s="1"/>
  <c r="D2" i="49"/>
  <c r="D2" i="44" l="1"/>
  <c r="E42" i="36" l="1"/>
  <c r="E38"/>
  <c r="E34"/>
  <c r="E91"/>
  <c r="E92"/>
  <c r="E90"/>
  <c r="E76"/>
  <c r="E77"/>
  <c r="E75"/>
  <c r="E69"/>
  <c r="E68"/>
  <c r="E63"/>
  <c r="E62"/>
  <c r="E61"/>
  <c r="E57"/>
  <c r="E58"/>
  <c r="E56"/>
  <c r="E52"/>
  <c r="E53"/>
  <c r="E51"/>
  <c r="E41"/>
  <c r="E37"/>
  <c r="E33"/>
  <c r="F24" i="39" l="1"/>
  <c r="G28" i="19" l="1"/>
  <c r="F75" l="1"/>
  <c r="F33" i="39"/>
  <c r="F25"/>
  <c r="F26" s="1"/>
  <c r="F27" s="1"/>
  <c r="F28" s="1"/>
  <c r="F29" s="1"/>
  <c r="G39" i="19"/>
  <c r="G40" s="1"/>
  <c r="G41" l="1"/>
  <c r="F97" i="22" l="1"/>
  <c r="F38" i="39"/>
  <c r="J124" i="22"/>
  <c r="J123"/>
  <c r="J122"/>
  <c r="J106"/>
  <c r="J105"/>
  <c r="J104"/>
  <c r="J100"/>
  <c r="J99"/>
  <c r="J98"/>
  <c r="J94"/>
  <c r="J93"/>
  <c r="J92"/>
  <c r="J76"/>
  <c r="J75"/>
  <c r="J74"/>
  <c r="J70"/>
  <c r="J69"/>
  <c r="J68"/>
  <c r="H28" i="38"/>
  <c r="G28"/>
  <c r="F28"/>
  <c r="F91" i="22" l="1"/>
  <c r="F67"/>
  <c r="F103"/>
  <c r="F73"/>
  <c r="F121"/>
  <c r="E175" i="29" l="1"/>
  <c r="E179"/>
  <c r="E171"/>
  <c r="F33" i="47" l="1"/>
  <c r="F32"/>
  <c r="D2"/>
  <c r="D131" i="36" l="1"/>
  <c r="D132" s="1"/>
  <c r="D133" s="1"/>
  <c r="D127"/>
  <c r="D128" s="1"/>
  <c r="D129" s="1"/>
  <c r="D123"/>
  <c r="D124" s="1"/>
  <c r="D125" s="1"/>
  <c r="D119"/>
  <c r="D120" s="1"/>
  <c r="D121" s="1"/>
  <c r="D115"/>
  <c r="D116" s="1"/>
  <c r="D117" s="1"/>
  <c r="D113"/>
  <c r="D109"/>
  <c r="D110" s="1"/>
  <c r="D111" s="1"/>
  <c r="D105"/>
  <c r="D106" s="1"/>
  <c r="D107" s="1"/>
  <c r="D101"/>
  <c r="D102" s="1"/>
  <c r="D103" s="1"/>
  <c r="G14" i="55" l="1"/>
  <c r="I26"/>
  <c r="G26"/>
  <c r="H14"/>
  <c r="H26"/>
  <c r="I14"/>
  <c r="G26" i="51"/>
  <c r="H14"/>
  <c r="I26"/>
  <c r="H26"/>
  <c r="I14"/>
  <c r="G14"/>
  <c r="I92" i="36"/>
  <c r="L92" s="1"/>
  <c r="H92"/>
  <c r="K92" s="1"/>
  <c r="I91"/>
  <c r="L91" s="1"/>
  <c r="H91"/>
  <c r="K91" s="1"/>
  <c r="L90"/>
  <c r="K90"/>
  <c r="I87"/>
  <c r="L87" s="1"/>
  <c r="H87"/>
  <c r="K87" s="1"/>
  <c r="I86"/>
  <c r="L86" s="1"/>
  <c r="H86"/>
  <c r="K86" s="1"/>
  <c r="L85"/>
  <c r="K85"/>
  <c r="L80"/>
  <c r="K80"/>
  <c r="I82"/>
  <c r="L82" s="1"/>
  <c r="H82"/>
  <c r="K82" s="1"/>
  <c r="I81"/>
  <c r="L81" s="1"/>
  <c r="H81"/>
  <c r="K81" s="1"/>
  <c r="I77"/>
  <c r="I76"/>
  <c r="H77"/>
  <c r="H76"/>
  <c r="L61"/>
  <c r="K61"/>
  <c r="L56"/>
  <c r="K56"/>
  <c r="K39"/>
  <c r="L39"/>
  <c r="K46"/>
  <c r="L46"/>
  <c r="K51"/>
  <c r="L51"/>
  <c r="L33"/>
  <c r="K33"/>
  <c r="I53"/>
  <c r="L53" s="1"/>
  <c r="H53"/>
  <c r="K53" s="1"/>
  <c r="I52"/>
  <c r="L52" s="1"/>
  <c r="H52"/>
  <c r="K52" s="1"/>
  <c r="I48"/>
  <c r="L48" s="1"/>
  <c r="H48"/>
  <c r="K48" s="1"/>
  <c r="I47"/>
  <c r="L47" s="1"/>
  <c r="H47"/>
  <c r="K47" s="1"/>
  <c r="I42"/>
  <c r="L42" s="1"/>
  <c r="H42"/>
  <c r="K42" s="1"/>
  <c r="I41"/>
  <c r="L41" s="1"/>
  <c r="H41"/>
  <c r="K41" s="1"/>
  <c r="H38"/>
  <c r="K38" s="1"/>
  <c r="I38"/>
  <c r="L38" s="1"/>
  <c r="I37"/>
  <c r="L37" s="1"/>
  <c r="H37"/>
  <c r="K37" s="1"/>
  <c r="I34"/>
  <c r="L34" s="1"/>
  <c r="H34"/>
  <c r="K34" s="1"/>
  <c r="H82" i="56" l="1"/>
  <c r="G64"/>
  <c r="I46"/>
  <c r="H37"/>
  <c r="G28"/>
  <c r="H29" i="55"/>
  <c r="H15" i="57"/>
  <c r="G82" i="56"/>
  <c r="I55"/>
  <c r="H46"/>
  <c r="G37"/>
  <c r="I15"/>
  <c r="G29" i="55"/>
  <c r="I64" i="56"/>
  <c r="H55"/>
  <c r="G46"/>
  <c r="I28"/>
  <c r="H15"/>
  <c r="I17" i="55"/>
  <c r="I82" i="56"/>
  <c r="H64"/>
  <c r="G55"/>
  <c r="I37"/>
  <c r="H28"/>
  <c r="G15"/>
  <c r="I29" i="55"/>
  <c r="H17"/>
  <c r="I82" i="52"/>
  <c r="G17" i="51"/>
  <c r="H57" i="36"/>
  <c r="H62" s="1"/>
  <c r="K62" s="1"/>
  <c r="I57"/>
  <c r="H58"/>
  <c r="I58"/>
  <c r="H33" i="57" l="1"/>
  <c r="H15" i="52"/>
  <c r="I46"/>
  <c r="H55"/>
  <c r="G28"/>
  <c r="H82"/>
  <c r="H28"/>
  <c r="G37"/>
  <c r="H15" i="53"/>
  <c r="I17" i="51"/>
  <c r="I64" i="52"/>
  <c r="H37"/>
  <c r="H17" i="51"/>
  <c r="I37" i="52"/>
  <c r="G46"/>
  <c r="H46"/>
  <c r="I29" i="51"/>
  <c r="G55" i="52"/>
  <c r="G29" i="51"/>
  <c r="I55" i="52"/>
  <c r="I28"/>
  <c r="H29" i="51"/>
  <c r="G64" i="52"/>
  <c r="G15"/>
  <c r="H64"/>
  <c r="I15"/>
  <c r="G82"/>
  <c r="K57" i="36"/>
  <c r="I62"/>
  <c r="L62" s="1"/>
  <c r="L57"/>
  <c r="L58"/>
  <c r="I63"/>
  <c r="L63" s="1"/>
  <c r="K58"/>
  <c r="H63"/>
  <c r="K63" s="1"/>
  <c r="F13" i="38" l="1"/>
  <c r="G198" i="29"/>
  <c r="E198"/>
  <c r="F71" i="19" l="1"/>
  <c r="G21" l="1"/>
  <c r="G20"/>
  <c r="G27" s="1"/>
  <c r="G54" s="1"/>
  <c r="G25" l="1"/>
  <c r="F72" i="29"/>
  <c r="G72"/>
  <c r="H72"/>
  <c r="I72"/>
  <c r="F73"/>
  <c r="G73"/>
  <c r="H73"/>
  <c r="I73"/>
  <c r="F74"/>
  <c r="G74"/>
  <c r="H74"/>
  <c r="I74"/>
  <c r="E73"/>
  <c r="E74"/>
  <c r="E72"/>
  <c r="G52" i="19" l="1"/>
  <c r="J74" i="29"/>
  <c r="J72"/>
  <c r="J73"/>
  <c r="D2" i="41" l="1"/>
  <c r="D2" i="40"/>
  <c r="F35" i="39"/>
  <c r="G85" i="29"/>
  <c r="D2" i="39"/>
  <c r="D2" i="38"/>
  <c r="F34" i="7"/>
  <c r="I21" i="6"/>
  <c r="H21"/>
  <c r="G21"/>
  <c r="I21" i="5"/>
  <c r="H21"/>
  <c r="G21"/>
  <c r="G12"/>
  <c r="I39" i="4"/>
  <c r="H39"/>
  <c r="G39"/>
  <c r="I21"/>
  <c r="H21"/>
  <c r="G21"/>
  <c r="G40" i="5" l="1"/>
  <c r="H40"/>
  <c r="H31"/>
  <c r="H34" s="1"/>
  <c r="G31"/>
  <c r="G34" s="1"/>
  <c r="I31"/>
  <c r="I34" s="1"/>
  <c r="I40"/>
  <c r="G40" i="53"/>
  <c r="H40"/>
  <c r="I31"/>
  <c r="I34" s="1"/>
  <c r="I40"/>
  <c r="G31"/>
  <c r="G34" s="1"/>
  <c r="H31"/>
  <c r="G40" i="57"/>
  <c r="I31"/>
  <c r="I34" s="1"/>
  <c r="I40"/>
  <c r="H31"/>
  <c r="H40"/>
  <c r="G31"/>
  <c r="G34" s="1"/>
  <c r="H22"/>
  <c r="H44" i="56"/>
  <c r="I80"/>
  <c r="I44"/>
  <c r="Q19" i="23" s="1"/>
  <c r="I22" i="57"/>
  <c r="G53" i="56"/>
  <c r="G56" s="1"/>
  <c r="G80"/>
  <c r="G83" s="1"/>
  <c r="O43" i="23" s="1"/>
  <c r="G13" i="56"/>
  <c r="O10" i="23" s="1"/>
  <c r="I62" i="56"/>
  <c r="H13"/>
  <c r="P10" i="23" s="1"/>
  <c r="I53" i="56"/>
  <c r="G13" i="57"/>
  <c r="G62" i="56"/>
  <c r="G65" s="1"/>
  <c r="H62"/>
  <c r="H65" s="1"/>
  <c r="I13" i="57"/>
  <c r="H26" i="56"/>
  <c r="I26"/>
  <c r="G71"/>
  <c r="I13"/>
  <c r="Q10" i="23" s="1"/>
  <c r="H71" i="56"/>
  <c r="G26"/>
  <c r="I71"/>
  <c r="Q11" i="23" s="1"/>
  <c r="G44" i="56"/>
  <c r="H80"/>
  <c r="H83" s="1"/>
  <c r="P43" i="23" s="1"/>
  <c r="G22" i="57"/>
  <c r="G35" i="56"/>
  <c r="H35"/>
  <c r="H13" i="57"/>
  <c r="J81" i="3" s="1"/>
  <c r="I35" i="56"/>
  <c r="H53"/>
  <c r="H56" s="1"/>
  <c r="I27" i="55"/>
  <c r="I30" s="1"/>
  <c r="H27"/>
  <c r="H30" s="1"/>
  <c r="H15"/>
  <c r="G15"/>
  <c r="G27"/>
  <c r="G30" s="1"/>
  <c r="I15"/>
  <c r="I22" i="53"/>
  <c r="G22"/>
  <c r="H13" i="52"/>
  <c r="M10" i="23" s="1"/>
  <c r="I53" i="52"/>
  <c r="G13" i="53"/>
  <c r="H35" i="52"/>
  <c r="H13" i="53"/>
  <c r="H62" i="52"/>
  <c r="G13"/>
  <c r="L10" i="23" s="1"/>
  <c r="I62" i="52"/>
  <c r="G26"/>
  <c r="I26"/>
  <c r="G71"/>
  <c r="I44"/>
  <c r="N19" i="23" s="1"/>
  <c r="G80" i="52"/>
  <c r="H26"/>
  <c r="H22" i="53"/>
  <c r="I80" i="52"/>
  <c r="H71"/>
  <c r="G53"/>
  <c r="G35"/>
  <c r="G62"/>
  <c r="I13" i="53"/>
  <c r="G44" i="52"/>
  <c r="L19" i="23" s="1"/>
  <c r="H80" i="52"/>
  <c r="I71"/>
  <c r="N11" i="23" s="1"/>
  <c r="H44" i="52"/>
  <c r="M19" i="23" s="1"/>
  <c r="I13" i="52"/>
  <c r="N10" i="23" s="1"/>
  <c r="I35" i="52"/>
  <c r="H53"/>
  <c r="H27" i="51"/>
  <c r="I15"/>
  <c r="I27"/>
  <c r="G27"/>
  <c r="G15"/>
  <c r="H15"/>
  <c r="E85" i="36"/>
  <c r="E86"/>
  <c r="E87"/>
  <c r="F11" i="38"/>
  <c r="F37" i="39"/>
  <c r="F12" i="38"/>
  <c r="F85" i="29" s="1"/>
  <c r="E85"/>
  <c r="F102"/>
  <c r="F187" s="1"/>
  <c r="F96"/>
  <c r="G102"/>
  <c r="G187" s="1"/>
  <c r="G96"/>
  <c r="E102"/>
  <c r="E187" s="1"/>
  <c r="E96"/>
  <c r="Q18" i="23" l="1"/>
  <c r="I83" i="3"/>
  <c r="H34" i="53"/>
  <c r="O83" i="3" s="1"/>
  <c r="H34" i="57"/>
  <c r="P83" i="3" s="1"/>
  <c r="J83"/>
  <c r="J80" s="1"/>
  <c r="N12" i="23"/>
  <c r="M26"/>
  <c r="Q26"/>
  <c r="N26"/>
  <c r="M12"/>
  <c r="H74" i="56"/>
  <c r="P41" i="23" s="1"/>
  <c r="P11"/>
  <c r="G47" i="56"/>
  <c r="O49" i="23" s="1"/>
  <c r="O19"/>
  <c r="O26"/>
  <c r="G38" i="56"/>
  <c r="O48" i="23" s="1"/>
  <c r="O18"/>
  <c r="G74" i="56"/>
  <c r="O41" i="23" s="1"/>
  <c r="O11"/>
  <c r="H47" i="56"/>
  <c r="P49" i="23" s="1"/>
  <c r="P19"/>
  <c r="H29" i="56"/>
  <c r="P42" i="23" s="1"/>
  <c r="P12"/>
  <c r="H38" i="56"/>
  <c r="P48" i="23" s="1"/>
  <c r="P18"/>
  <c r="P26"/>
  <c r="G29" i="56"/>
  <c r="O42" i="23" s="1"/>
  <c r="O12"/>
  <c r="Q12"/>
  <c r="L26"/>
  <c r="N18"/>
  <c r="L18"/>
  <c r="H74" i="52"/>
  <c r="M41" i="23" s="1"/>
  <c r="M11"/>
  <c r="M18"/>
  <c r="L12"/>
  <c r="G74" i="52"/>
  <c r="L41" i="23" s="1"/>
  <c r="L11"/>
  <c r="I81" i="3"/>
  <c r="I47" i="56"/>
  <c r="Q49" i="23" s="1"/>
  <c r="I74" i="56"/>
  <c r="Q41" i="23" s="1"/>
  <c r="I56" i="56"/>
  <c r="I38"/>
  <c r="I29"/>
  <c r="I65"/>
  <c r="G7" i="55"/>
  <c r="I7"/>
  <c r="I18"/>
  <c r="H7" i="57"/>
  <c r="H118" i="3" s="1"/>
  <c r="J34" i="22" s="1"/>
  <c r="H16" i="57"/>
  <c r="P81" i="3" s="1"/>
  <c r="G7" i="57"/>
  <c r="G118" i="3" s="1"/>
  <c r="J33" i="22" s="1"/>
  <c r="G16" i="57"/>
  <c r="G7" i="56"/>
  <c r="G16"/>
  <c r="I7"/>
  <c r="I16"/>
  <c r="Q40" i="23" s="1"/>
  <c r="I7" i="57"/>
  <c r="I118" i="3" s="1"/>
  <c r="J35" i="22" s="1"/>
  <c r="I16" i="57"/>
  <c r="H7" i="56"/>
  <c r="H16"/>
  <c r="H7" i="55"/>
  <c r="H18"/>
  <c r="P56" i="23" s="1"/>
  <c r="G34" i="38"/>
  <c r="I74" i="52"/>
  <c r="N41" i="23" s="1"/>
  <c r="H7" i="51"/>
  <c r="I7"/>
  <c r="I7" i="52"/>
  <c r="H7" i="53"/>
  <c r="G7" i="51"/>
  <c r="I7" i="53"/>
  <c r="I16"/>
  <c r="H7" i="52"/>
  <c r="G7"/>
  <c r="G7" i="53"/>
  <c r="G16"/>
  <c r="H35" i="38"/>
  <c r="H22"/>
  <c r="G88" i="29" s="1"/>
  <c r="G77"/>
  <c r="F15" i="38"/>
  <c r="F22"/>
  <c r="E88" i="29" s="1"/>
  <c r="G37" i="38"/>
  <c r="F89" i="29" s="1"/>
  <c r="G78"/>
  <c r="E81"/>
  <c r="F20" i="38"/>
  <c r="H34"/>
  <c r="G35"/>
  <c r="F80" i="29"/>
  <c r="F34" i="38"/>
  <c r="G19"/>
  <c r="F19"/>
  <c r="D2" i="36"/>
  <c r="F30" i="38" l="1"/>
  <c r="G70" i="28" s="1"/>
  <c r="Q56" i="23"/>
  <c r="Q48"/>
  <c r="H8" i="56"/>
  <c r="P40" i="23"/>
  <c r="J30" i="22" s="1"/>
  <c r="Q42" i="23"/>
  <c r="G8" i="56"/>
  <c r="O40" i="23"/>
  <c r="H117" i="3"/>
  <c r="I34" i="22" s="1"/>
  <c r="G117" i="3"/>
  <c r="I33" i="22" s="1"/>
  <c r="I117" i="3"/>
  <c r="I35" i="22" s="1"/>
  <c r="H104" i="3"/>
  <c r="J22" i="22" s="1"/>
  <c r="I104" i="3"/>
  <c r="J23" i="22" s="1"/>
  <c r="G104" i="3"/>
  <c r="J21" i="22" s="1"/>
  <c r="G103" i="3"/>
  <c r="I21" i="22" s="1"/>
  <c r="H103" i="3"/>
  <c r="I22" i="22" s="1"/>
  <c r="I103" i="3"/>
  <c r="I23" i="22" s="1"/>
  <c r="F35" i="38"/>
  <c r="H19"/>
  <c r="F37"/>
  <c r="E89" i="29" s="1"/>
  <c r="H37" i="38"/>
  <c r="H20"/>
  <c r="G22"/>
  <c r="E78" i="29"/>
  <c r="E77"/>
  <c r="E80"/>
  <c r="F81"/>
  <c r="G81"/>
  <c r="G80"/>
  <c r="F77"/>
  <c r="H30" i="38" l="1"/>
  <c r="G82" i="28" s="1"/>
  <c r="I47" i="22"/>
  <c r="G118" i="29"/>
  <c r="G130" s="1"/>
  <c r="G135" s="1"/>
  <c r="J45" i="22"/>
  <c r="H116" i="29"/>
  <c r="H128" s="1"/>
  <c r="J47" i="22"/>
  <c r="H118" i="29"/>
  <c r="H130" s="1"/>
  <c r="H135" s="1"/>
  <c r="I46" i="22"/>
  <c r="G117" i="29"/>
  <c r="G129" s="1"/>
  <c r="G134" s="1"/>
  <c r="J46" i="22"/>
  <c r="H117" i="29"/>
  <c r="H129" s="1"/>
  <c r="H134" s="1"/>
  <c r="I45" i="22"/>
  <c r="G116" i="29"/>
  <c r="G128" s="1"/>
  <c r="J57" i="22"/>
  <c r="H125" i="29"/>
  <c r="O50" i="23"/>
  <c r="P50"/>
  <c r="G89" i="29"/>
  <c r="F88"/>
  <c r="E106"/>
  <c r="E196" s="1"/>
  <c r="G106"/>
  <c r="G196" s="1"/>
  <c r="E101"/>
  <c r="E103" s="1"/>
  <c r="E23" s="1"/>
  <c r="E92"/>
  <c r="G129" i="28"/>
  <c r="G101" i="29" l="1"/>
  <c r="G92"/>
  <c r="G93"/>
  <c r="E93"/>
  <c r="E186"/>
  <c r="E188" s="1"/>
  <c r="G141" i="28"/>
  <c r="G186" i="29" l="1"/>
  <c r="G188" s="1"/>
  <c r="G103"/>
  <c r="I23" s="1"/>
  <c r="D2"/>
  <c r="D2" i="28" l="1"/>
  <c r="G69" i="29" l="1"/>
  <c r="G68"/>
  <c r="G67"/>
  <c r="G66"/>
  <c r="G65"/>
  <c r="G62"/>
  <c r="G61"/>
  <c r="G60"/>
  <c r="G59"/>
  <c r="G58"/>
  <c r="F69"/>
  <c r="F68"/>
  <c r="F67"/>
  <c r="F66"/>
  <c r="F65"/>
  <c r="F59"/>
  <c r="F60"/>
  <c r="F61"/>
  <c r="F62"/>
  <c r="F58"/>
  <c r="E66"/>
  <c r="E67"/>
  <c r="E68"/>
  <c r="E69"/>
  <c r="E65"/>
  <c r="E59"/>
  <c r="E60"/>
  <c r="E61"/>
  <c r="E62"/>
  <c r="E58"/>
  <c r="H78" i="12" l="1"/>
  <c r="I78"/>
  <c r="H79"/>
  <c r="I79"/>
  <c r="G79"/>
  <c r="G78"/>
  <c r="H69"/>
  <c r="I69"/>
  <c r="H70"/>
  <c r="I70"/>
  <c r="G70"/>
  <c r="G69"/>
  <c r="H78" i="10"/>
  <c r="I78"/>
  <c r="H79"/>
  <c r="I79"/>
  <c r="G79"/>
  <c r="G78"/>
  <c r="H69" l="1"/>
  <c r="I69"/>
  <c r="H70"/>
  <c r="I70"/>
  <c r="G70"/>
  <c r="G69"/>
  <c r="H79" i="8"/>
  <c r="I79"/>
  <c r="G79"/>
  <c r="H78"/>
  <c r="I78"/>
  <c r="G78"/>
  <c r="H70"/>
  <c r="I70"/>
  <c r="G70"/>
  <c r="H69"/>
  <c r="I69"/>
  <c r="G69"/>
  <c r="F83"/>
  <c r="F82"/>
  <c r="F81"/>
  <c r="F80"/>
  <c r="F79"/>
  <c r="F78"/>
  <c r="F77"/>
  <c r="F75"/>
  <c r="F74"/>
  <c r="F73"/>
  <c r="F72"/>
  <c r="F71"/>
  <c r="F70"/>
  <c r="F69"/>
  <c r="F68"/>
  <c r="D2" i="24"/>
  <c r="S40" i="23" l="1"/>
  <c r="T40"/>
  <c r="R40"/>
  <c r="S10"/>
  <c r="T10"/>
  <c r="S16"/>
  <c r="T16"/>
  <c r="R16"/>
  <c r="R10"/>
  <c r="D2"/>
  <c r="G20" i="38" l="1"/>
  <c r="F78" i="29"/>
  <c r="I25" i="11" l="1"/>
  <c r="I43" i="5" l="1"/>
  <c r="G43"/>
  <c r="H43"/>
  <c r="H43" i="53"/>
  <c r="O88" i="3" s="1"/>
  <c r="G43" i="53"/>
  <c r="I43"/>
  <c r="I43" i="57"/>
  <c r="H43"/>
  <c r="P88" i="3" s="1"/>
  <c r="G43" i="57"/>
  <c r="G25"/>
  <c r="I25"/>
  <c r="H25"/>
  <c r="H36" i="55"/>
  <c r="G36"/>
  <c r="I36"/>
  <c r="G25" i="53"/>
  <c r="H25"/>
  <c r="I25"/>
  <c r="I36" i="51"/>
  <c r="H36"/>
  <c r="G36"/>
  <c r="E80" i="36"/>
  <c r="E82"/>
  <c r="E81"/>
  <c r="G34" i="7"/>
  <c r="H34"/>
  <c r="I34"/>
  <c r="G36" i="9"/>
  <c r="H36"/>
  <c r="I36"/>
  <c r="H35" i="11"/>
  <c r="I35"/>
  <c r="G35"/>
  <c r="G25"/>
  <c r="H25"/>
  <c r="H26" i="9"/>
  <c r="I26"/>
  <c r="I14"/>
  <c r="G26"/>
  <c r="G14"/>
  <c r="H14"/>
  <c r="K14" i="22"/>
  <c r="K16"/>
  <c r="I155" i="29" s="1"/>
  <c r="G204" s="1"/>
  <c r="I73" i="12"/>
  <c r="G73"/>
  <c r="H73"/>
  <c r="K15" i="22"/>
  <c r="H63" i="28" s="1"/>
  <c r="H71" i="12"/>
  <c r="S11" i="23" s="1"/>
  <c r="G71" i="12"/>
  <c r="R11" i="23" s="1"/>
  <c r="I80" i="12"/>
  <c r="T13" i="23" s="1"/>
  <c r="H80" i="12"/>
  <c r="S13" i="23" s="1"/>
  <c r="I71" i="12"/>
  <c r="G80"/>
  <c r="R13" i="23" s="1"/>
  <c r="I71" i="10"/>
  <c r="H71"/>
  <c r="G71"/>
  <c r="H80"/>
  <c r="G80"/>
  <c r="I80"/>
  <c r="I82" i="12"/>
  <c r="H82"/>
  <c r="G82"/>
  <c r="H83" i="52"/>
  <c r="M43" i="23" s="1"/>
  <c r="G83" i="52"/>
  <c r="L43" i="23" s="1"/>
  <c r="I80" i="8"/>
  <c r="Q13" i="23" s="1"/>
  <c r="I71" i="8"/>
  <c r="G71"/>
  <c r="F11" i="23" s="1"/>
  <c r="H71" i="8"/>
  <c r="G11" i="23" s="1"/>
  <c r="G80" i="8"/>
  <c r="O13" i="23" s="1"/>
  <c r="D38" i="3"/>
  <c r="G8" i="53" l="1"/>
  <c r="G124" i="3" s="1"/>
  <c r="I38" i="22" s="1"/>
  <c r="I8" i="53"/>
  <c r="I124" i="3" s="1"/>
  <c r="I40" i="22" s="1"/>
  <c r="I8" i="57"/>
  <c r="I125" i="3" s="1"/>
  <c r="J40" i="22" s="1"/>
  <c r="G8" i="57"/>
  <c r="G125" i="3" s="1"/>
  <c r="J38" i="22" s="1"/>
  <c r="K13" i="23"/>
  <c r="N13"/>
  <c r="I11"/>
  <c r="J11"/>
  <c r="K11"/>
  <c r="I13"/>
  <c r="L13"/>
  <c r="H8" i="57"/>
  <c r="H125" i="3" s="1"/>
  <c r="J39" i="22" s="1"/>
  <c r="P86" i="3"/>
  <c r="P85" s="1"/>
  <c r="O86"/>
  <c r="I83" i="52"/>
  <c r="N43" i="23" s="1"/>
  <c r="I83" i="56"/>
  <c r="Q43" i="23" s="1"/>
  <c r="H64" i="28"/>
  <c r="I63"/>
  <c r="H122"/>
  <c r="I122" s="1"/>
  <c r="J122" s="1"/>
  <c r="K122" s="1"/>
  <c r="L122" s="1"/>
  <c r="M122" s="1"/>
  <c r="N122" s="1"/>
  <c r="O122" s="1"/>
  <c r="P122" s="1"/>
  <c r="Q122" s="1"/>
  <c r="Q123" s="1"/>
  <c r="K76" i="36"/>
  <c r="L76"/>
  <c r="K77"/>
  <c r="L77"/>
  <c r="L75"/>
  <c r="K75"/>
  <c r="I154" i="29"/>
  <c r="I26" s="1"/>
  <c r="I153"/>
  <c r="G202" s="1"/>
  <c r="T11" i="23"/>
  <c r="H11"/>
  <c r="H13"/>
  <c r="F13"/>
  <c r="G73" i="10"/>
  <c r="G74" s="1"/>
  <c r="G74" i="12"/>
  <c r="R41" i="23" s="1"/>
  <c r="I82" i="10"/>
  <c r="I83" s="1"/>
  <c r="I83" i="12"/>
  <c r="I73" i="10"/>
  <c r="I74" s="1"/>
  <c r="I74" i="12"/>
  <c r="H73" i="10"/>
  <c r="H74" s="1"/>
  <c r="H74" i="12"/>
  <c r="S41" i="23" s="1"/>
  <c r="H82" i="10"/>
  <c r="H83" s="1"/>
  <c r="H83" i="12"/>
  <c r="S43" i="23" s="1"/>
  <c r="G82" i="10"/>
  <c r="G83" s="1"/>
  <c r="G83" i="12"/>
  <c r="R43" i="23" s="1"/>
  <c r="I73" i="8"/>
  <c r="I74" s="1"/>
  <c r="G82"/>
  <c r="G83" s="1"/>
  <c r="F43" i="23" s="1"/>
  <c r="H73" i="8"/>
  <c r="H74" s="1"/>
  <c r="G41" i="23" s="1"/>
  <c r="I82" i="8"/>
  <c r="I83" s="1"/>
  <c r="G73"/>
  <c r="G74" s="1"/>
  <c r="F41" i="23" s="1"/>
  <c r="H82" i="8"/>
  <c r="D2" i="22"/>
  <c r="J43" i="23" l="1"/>
  <c r="K41"/>
  <c r="I41"/>
  <c r="I43"/>
  <c r="J41"/>
  <c r="K43"/>
  <c r="I8" i="56"/>
  <c r="I64" i="28"/>
  <c r="J63"/>
  <c r="P123"/>
  <c r="M123"/>
  <c r="O123"/>
  <c r="L123"/>
  <c r="J123"/>
  <c r="I123"/>
  <c r="N123"/>
  <c r="H123"/>
  <c r="K123"/>
  <c r="G203" i="29"/>
  <c r="H41" i="23"/>
  <c r="T41"/>
  <c r="H43"/>
  <c r="T43"/>
  <c r="G55" i="19"/>
  <c r="Q50" i="23" l="1"/>
  <c r="K63" i="28"/>
  <c r="J64"/>
  <c r="L63" l="1"/>
  <c r="L64" s="1"/>
  <c r="K64"/>
  <c r="D2" i="19"/>
  <c r="D37" i="3" l="1"/>
  <c r="E9" s="1"/>
  <c r="P61" l="1"/>
  <c r="J49"/>
  <c r="E302" i="29" s="1"/>
  <c r="J48" i="3"/>
  <c r="E301" i="29" s="1"/>
  <c r="J54" i="3"/>
  <c r="E306" i="29" s="1"/>
  <c r="J55" i="3"/>
  <c r="E307" i="29" s="1"/>
  <c r="J52" i="3"/>
  <c r="E304" i="29" s="1"/>
  <c r="J50" i="3"/>
  <c r="J53"/>
  <c r="E305" i="29" s="1"/>
  <c r="J56" i="3"/>
  <c r="E308" i="29" s="1"/>
  <c r="P48" i="3"/>
  <c r="E314" i="29" s="1"/>
  <c r="P52" i="3"/>
  <c r="E317" i="29" s="1"/>
  <c r="P56" i="3"/>
  <c r="E321" i="29" s="1"/>
  <c r="P50" i="3"/>
  <c r="P54"/>
  <c r="E319" i="29" s="1"/>
  <c r="P53" i="3"/>
  <c r="E318" i="29" s="1"/>
  <c r="P55" i="3"/>
  <c r="E320" i="29" s="1"/>
  <c r="P49" i="3"/>
  <c r="E315" i="29" s="1"/>
  <c r="I48" i="3"/>
  <c r="E274" i="29" s="1"/>
  <c r="I54" i="3"/>
  <c r="E279" i="29" s="1"/>
  <c r="I50" i="3"/>
  <c r="I52"/>
  <c r="E277" i="29" s="1"/>
  <c r="I56" i="3"/>
  <c r="E281" i="29" s="1"/>
  <c r="I55" i="3"/>
  <c r="E280" i="29" s="1"/>
  <c r="I53" i="3"/>
  <c r="E278" i="29" s="1"/>
  <c r="I49" i="3"/>
  <c r="E275" i="29" s="1"/>
  <c r="O50" i="3"/>
  <c r="O49"/>
  <c r="H11" i="6"/>
  <c r="I11"/>
  <c r="H12"/>
  <c r="I12"/>
  <c r="H20"/>
  <c r="H22" s="1"/>
  <c r="I20"/>
  <c r="I22" s="1"/>
  <c r="H24"/>
  <c r="I24"/>
  <c r="G24"/>
  <c r="G20"/>
  <c r="G22" s="1"/>
  <c r="G12"/>
  <c r="G11"/>
  <c r="H11" i="5"/>
  <c r="I11"/>
  <c r="H12"/>
  <c r="I12"/>
  <c r="G11"/>
  <c r="H20"/>
  <c r="H22" s="1"/>
  <c r="I20"/>
  <c r="I22" s="1"/>
  <c r="G20"/>
  <c r="G22" s="1"/>
  <c r="H24"/>
  <c r="I24"/>
  <c r="G24"/>
  <c r="E288" i="29" l="1"/>
  <c r="J47" i="3"/>
  <c r="I25" i="6"/>
  <c r="H25"/>
  <c r="G25"/>
  <c r="H25" i="5"/>
  <c r="O85" i="3" s="1"/>
  <c r="I25" i="5"/>
  <c r="G25"/>
  <c r="H24" i="12"/>
  <c r="I24"/>
  <c r="H25"/>
  <c r="I25"/>
  <c r="H33"/>
  <c r="I33"/>
  <c r="H34"/>
  <c r="I34"/>
  <c r="H42"/>
  <c r="I42"/>
  <c r="H43"/>
  <c r="I43"/>
  <c r="H51"/>
  <c r="I51"/>
  <c r="H52"/>
  <c r="I52"/>
  <c r="H60"/>
  <c r="I60"/>
  <c r="H61"/>
  <c r="I61"/>
  <c r="G61"/>
  <c r="G60"/>
  <c r="G52"/>
  <c r="G51"/>
  <c r="G43"/>
  <c r="G42"/>
  <c r="G34"/>
  <c r="G33"/>
  <c r="G25"/>
  <c r="G24"/>
  <c r="H22" i="11"/>
  <c r="I22"/>
  <c r="H23"/>
  <c r="I23"/>
  <c r="H24"/>
  <c r="I24"/>
  <c r="H33"/>
  <c r="I33"/>
  <c r="G33"/>
  <c r="G24"/>
  <c r="G23"/>
  <c r="G22"/>
  <c r="H11" i="10"/>
  <c r="I11"/>
  <c r="H12"/>
  <c r="I12"/>
  <c r="H24"/>
  <c r="I24"/>
  <c r="H25"/>
  <c r="I25"/>
  <c r="H33"/>
  <c r="I33"/>
  <c r="H34"/>
  <c r="I34"/>
  <c r="H42"/>
  <c r="I42"/>
  <c r="H43"/>
  <c r="I43"/>
  <c r="H51"/>
  <c r="I51"/>
  <c r="H52"/>
  <c r="I52"/>
  <c r="H60"/>
  <c r="I60"/>
  <c r="H61"/>
  <c r="I61"/>
  <c r="G61"/>
  <c r="G60"/>
  <c r="G52"/>
  <c r="G51"/>
  <c r="G43"/>
  <c r="G42"/>
  <c r="G34"/>
  <c r="G33"/>
  <c r="G25"/>
  <c r="G24"/>
  <c r="G12"/>
  <c r="G11"/>
  <c r="H11" i="9"/>
  <c r="I11"/>
  <c r="H12"/>
  <c r="I12"/>
  <c r="H13"/>
  <c r="I13"/>
  <c r="H23"/>
  <c r="I23"/>
  <c r="H24"/>
  <c r="I24"/>
  <c r="H25"/>
  <c r="I25"/>
  <c r="H34"/>
  <c r="I34"/>
  <c r="G34"/>
  <c r="G25"/>
  <c r="G24"/>
  <c r="G23"/>
  <c r="G13"/>
  <c r="G12"/>
  <c r="G11"/>
  <c r="H60" i="8"/>
  <c r="I60"/>
  <c r="H61"/>
  <c r="I61"/>
  <c r="G61"/>
  <c r="G60"/>
  <c r="H51"/>
  <c r="I51"/>
  <c r="H52"/>
  <c r="I52"/>
  <c r="G52"/>
  <c r="G51"/>
  <c r="H42"/>
  <c r="I42"/>
  <c r="H43"/>
  <c r="I43"/>
  <c r="G43"/>
  <c r="G42"/>
  <c r="H33"/>
  <c r="I33"/>
  <c r="H34"/>
  <c r="I34"/>
  <c r="G34"/>
  <c r="G33"/>
  <c r="H24"/>
  <c r="I24"/>
  <c r="H25"/>
  <c r="I25"/>
  <c r="G25"/>
  <c r="G24"/>
  <c r="H20"/>
  <c r="G16" i="23" s="1"/>
  <c r="I20" i="8"/>
  <c r="G20"/>
  <c r="F16" i="23" s="1"/>
  <c r="H11" i="8"/>
  <c r="I11"/>
  <c r="H12"/>
  <c r="I12"/>
  <c r="G12"/>
  <c r="G11"/>
  <c r="H32" i="7"/>
  <c r="I32"/>
  <c r="G32"/>
  <c r="H22"/>
  <c r="I22"/>
  <c r="H23"/>
  <c r="I23"/>
  <c r="H24"/>
  <c r="I24"/>
  <c r="G23"/>
  <c r="G24"/>
  <c r="G22"/>
  <c r="H11"/>
  <c r="I11"/>
  <c r="H12"/>
  <c r="I12"/>
  <c r="H13"/>
  <c r="I13"/>
  <c r="G12"/>
  <c r="G13"/>
  <c r="G11"/>
  <c r="H42" i="4"/>
  <c r="I42"/>
  <c r="G42"/>
  <c r="H38"/>
  <c r="H40" s="1"/>
  <c r="I38"/>
  <c r="I40" s="1"/>
  <c r="G38"/>
  <c r="G40" s="1"/>
  <c r="H30"/>
  <c r="I30"/>
  <c r="G30"/>
  <c r="H29"/>
  <c r="I29"/>
  <c r="G29"/>
  <c r="H20"/>
  <c r="H22" s="1"/>
  <c r="I20"/>
  <c r="I22" s="1"/>
  <c r="G20"/>
  <c r="G22" s="1"/>
  <c r="G12"/>
  <c r="H12"/>
  <c r="I12"/>
  <c r="H11"/>
  <c r="I11"/>
  <c r="G11"/>
  <c r="I15" i="6"/>
  <c r="H15"/>
  <c r="G15"/>
  <c r="I15" i="5"/>
  <c r="G15"/>
  <c r="I33" i="4"/>
  <c r="H33"/>
  <c r="G33"/>
  <c r="I24"/>
  <c r="H24"/>
  <c r="G24"/>
  <c r="I15"/>
  <c r="G15"/>
  <c r="G64" i="12"/>
  <c r="H64"/>
  <c r="I64"/>
  <c r="G28"/>
  <c r="H28"/>
  <c r="I28"/>
  <c r="G37"/>
  <c r="H37"/>
  <c r="I37"/>
  <c r="G46"/>
  <c r="H46"/>
  <c r="I46"/>
  <c r="G55"/>
  <c r="H55"/>
  <c r="I55"/>
  <c r="I28" i="11"/>
  <c r="H28"/>
  <c r="G28"/>
  <c r="G17" i="55"/>
  <c r="G18" s="1"/>
  <c r="I64" i="8"/>
  <c r="H64"/>
  <c r="G64"/>
  <c r="I55"/>
  <c r="H55"/>
  <c r="G55"/>
  <c r="I46"/>
  <c r="H46"/>
  <c r="G46"/>
  <c r="I37"/>
  <c r="H37"/>
  <c r="G37"/>
  <c r="I28"/>
  <c r="H28"/>
  <c r="G28"/>
  <c r="I15"/>
  <c r="H15"/>
  <c r="G15"/>
  <c r="I27" i="7"/>
  <c r="H27"/>
  <c r="G27"/>
  <c r="I16"/>
  <c r="H16"/>
  <c r="G16"/>
  <c r="C2" i="14"/>
  <c r="O56" i="23" l="1"/>
  <c r="G37" i="10"/>
  <c r="G38" i="52"/>
  <c r="G17" i="9"/>
  <c r="G18" i="51"/>
  <c r="H29" i="9"/>
  <c r="H30" i="51"/>
  <c r="G28" i="10"/>
  <c r="G29" i="52"/>
  <c r="H37" i="10"/>
  <c r="H38" i="52"/>
  <c r="I46" i="10"/>
  <c r="I47" i="52"/>
  <c r="N49" i="23" s="1"/>
  <c r="G64" i="10"/>
  <c r="G65" i="52"/>
  <c r="I17" i="9"/>
  <c r="I18" i="51"/>
  <c r="H15" i="10"/>
  <c r="H16" i="52"/>
  <c r="M40" i="23" s="1"/>
  <c r="I28" i="10"/>
  <c r="I29" i="52"/>
  <c r="G46" i="10"/>
  <c r="G47" i="52"/>
  <c r="L49" i="23" s="1"/>
  <c r="H55" i="10"/>
  <c r="H56" i="52"/>
  <c r="I64" i="10"/>
  <c r="I65" i="52"/>
  <c r="G29" i="9"/>
  <c r="G30" i="51"/>
  <c r="I15" i="10"/>
  <c r="I16" i="52"/>
  <c r="N40" i="23" s="1"/>
  <c r="H46" i="10"/>
  <c r="H47" i="52"/>
  <c r="M49" i="23" s="1"/>
  <c r="I55" i="10"/>
  <c r="I56" i="52"/>
  <c r="H15" i="5"/>
  <c r="H16" i="53"/>
  <c r="P80" i="3" s="1"/>
  <c r="P90" s="1"/>
  <c r="H17" i="9"/>
  <c r="H18" i="51"/>
  <c r="I29" i="9"/>
  <c r="I30" i="51"/>
  <c r="O61" i="3" s="1"/>
  <c r="G15" i="10"/>
  <c r="G16" i="52"/>
  <c r="L40" i="23" s="1"/>
  <c r="H28" i="10"/>
  <c r="H29" i="52"/>
  <c r="I37" i="10"/>
  <c r="I38" i="52"/>
  <c r="G55" i="10"/>
  <c r="G56" i="52"/>
  <c r="H64" i="10"/>
  <c r="H65" i="52"/>
  <c r="H26" i="11"/>
  <c r="I26"/>
  <c r="G26"/>
  <c r="G27" i="9"/>
  <c r="H27"/>
  <c r="I27"/>
  <c r="G15"/>
  <c r="H15"/>
  <c r="I15"/>
  <c r="H15" i="4"/>
  <c r="H80" i="8"/>
  <c r="P13" i="23" s="1"/>
  <c r="J24" i="22" s="1"/>
  <c r="H16" i="23"/>
  <c r="G25" i="4"/>
  <c r="G43"/>
  <c r="I25"/>
  <c r="I43"/>
  <c r="H25"/>
  <c r="H43"/>
  <c r="F26" i="12"/>
  <c r="F25"/>
  <c r="F24"/>
  <c r="F23"/>
  <c r="F22"/>
  <c r="C2"/>
  <c r="F26" i="11"/>
  <c r="F22"/>
  <c r="F21"/>
  <c r="F20"/>
  <c r="C2"/>
  <c r="F43" i="10"/>
  <c r="F42"/>
  <c r="F41"/>
  <c r="F40"/>
  <c r="F39"/>
  <c r="F38"/>
  <c r="F37"/>
  <c r="F36"/>
  <c r="F35"/>
  <c r="F34"/>
  <c r="F33"/>
  <c r="F32"/>
  <c r="F31"/>
  <c r="F29"/>
  <c r="F28"/>
  <c r="F27"/>
  <c r="F26"/>
  <c r="F25"/>
  <c r="F24"/>
  <c r="F23"/>
  <c r="F22"/>
  <c r="F17"/>
  <c r="F16"/>
  <c r="F15"/>
  <c r="F14"/>
  <c r="F13"/>
  <c r="F12"/>
  <c r="F11"/>
  <c r="C2"/>
  <c r="F42" i="9"/>
  <c r="F41"/>
  <c r="F39"/>
  <c r="F37"/>
  <c r="F35"/>
  <c r="F34"/>
  <c r="F33"/>
  <c r="F30"/>
  <c r="F29"/>
  <c r="F28"/>
  <c r="F27"/>
  <c r="F23"/>
  <c r="F22"/>
  <c r="F19"/>
  <c r="F18"/>
  <c r="F17"/>
  <c r="F16"/>
  <c r="F15"/>
  <c r="F11"/>
  <c r="C2"/>
  <c r="F66" i="8"/>
  <c r="F65"/>
  <c r="F64"/>
  <c r="F63"/>
  <c r="F62"/>
  <c r="F61"/>
  <c r="F60"/>
  <c r="F59"/>
  <c r="F57"/>
  <c r="F56"/>
  <c r="F55"/>
  <c r="F54"/>
  <c r="F53"/>
  <c r="F52"/>
  <c r="F51"/>
  <c r="F50"/>
  <c r="F48"/>
  <c r="F47"/>
  <c r="F46"/>
  <c r="F45"/>
  <c r="F44"/>
  <c r="F43"/>
  <c r="F42"/>
  <c r="F41"/>
  <c r="F39"/>
  <c r="F38"/>
  <c r="F37"/>
  <c r="F36"/>
  <c r="F35"/>
  <c r="F34"/>
  <c r="F33"/>
  <c r="F32"/>
  <c r="F29"/>
  <c r="F28"/>
  <c r="F27"/>
  <c r="F26"/>
  <c r="F25"/>
  <c r="F24"/>
  <c r="F23"/>
  <c r="F21"/>
  <c r="F20"/>
  <c r="F19"/>
  <c r="F16"/>
  <c r="F15"/>
  <c r="F14"/>
  <c r="F13"/>
  <c r="F12"/>
  <c r="F11"/>
  <c r="C2"/>
  <c r="F35" i="7"/>
  <c r="F33"/>
  <c r="F32"/>
  <c r="F31"/>
  <c r="F30"/>
  <c r="F28"/>
  <c r="F27"/>
  <c r="F26"/>
  <c r="F25"/>
  <c r="F22"/>
  <c r="F21"/>
  <c r="F20"/>
  <c r="F18"/>
  <c r="F17"/>
  <c r="F16"/>
  <c r="F15"/>
  <c r="F14"/>
  <c r="F11"/>
  <c r="C2"/>
  <c r="F25" i="6"/>
  <c r="F24"/>
  <c r="F23"/>
  <c r="F22"/>
  <c r="F20"/>
  <c r="F17"/>
  <c r="F16"/>
  <c r="F15"/>
  <c r="F14"/>
  <c r="F13"/>
  <c r="F12"/>
  <c r="F11"/>
  <c r="Q87" i="3" s="1"/>
  <c r="C2" i="6"/>
  <c r="F25" i="5"/>
  <c r="F24"/>
  <c r="F23"/>
  <c r="F22"/>
  <c r="F20"/>
  <c r="F17"/>
  <c r="F16"/>
  <c r="F15"/>
  <c r="F14"/>
  <c r="F13"/>
  <c r="F12"/>
  <c r="F11"/>
  <c r="C2"/>
  <c r="F43" i="4"/>
  <c r="F42"/>
  <c r="F40"/>
  <c r="F38"/>
  <c r="F37"/>
  <c r="F35"/>
  <c r="F34"/>
  <c r="F33"/>
  <c r="F32"/>
  <c r="F31"/>
  <c r="F30"/>
  <c r="F29"/>
  <c r="F28"/>
  <c r="F25"/>
  <c r="F24"/>
  <c r="F23"/>
  <c r="F22"/>
  <c r="F20"/>
  <c r="F17"/>
  <c r="F16"/>
  <c r="F15"/>
  <c r="F14"/>
  <c r="J86" i="3" s="1"/>
  <c r="F13" i="4"/>
  <c r="F12"/>
  <c r="F11"/>
  <c r="C2"/>
  <c r="D60" i="3"/>
  <c r="E323" i="29" s="1"/>
  <c r="D2" i="3"/>
  <c r="E9" i="1"/>
  <c r="D2"/>
  <c r="I86" i="3" l="1"/>
  <c r="I88"/>
  <c r="J87"/>
  <c r="I87"/>
  <c r="J62"/>
  <c r="E311" i="29" s="1"/>
  <c r="J66" i="3"/>
  <c r="J65" s="1"/>
  <c r="I66"/>
  <c r="I65" s="1"/>
  <c r="I62"/>
  <c r="E284" i="29" s="1"/>
  <c r="J88" i="3"/>
  <c r="P60"/>
  <c r="E322" i="29" s="1"/>
  <c r="E296"/>
  <c r="O60" i="3"/>
  <c r="H115" i="22"/>
  <c r="P42" i="3"/>
  <c r="J48" i="22"/>
  <c r="H119" i="29"/>
  <c r="H133" s="1"/>
  <c r="N48" i="23"/>
  <c r="M56"/>
  <c r="N42"/>
  <c r="M42"/>
  <c r="N56"/>
  <c r="L42"/>
  <c r="L56"/>
  <c r="M48"/>
  <c r="L48"/>
  <c r="J13"/>
  <c r="M13"/>
  <c r="I24" i="22" s="1"/>
  <c r="I26" i="23"/>
  <c r="K26"/>
  <c r="J26"/>
  <c r="J60" i="3"/>
  <c r="E309" i="29" s="1"/>
  <c r="O55" i="3"/>
  <c r="O48"/>
  <c r="O56"/>
  <c r="O53"/>
  <c r="O52"/>
  <c r="O54"/>
  <c r="I61"/>
  <c r="E283" i="29" s="1"/>
  <c r="J61" i="3"/>
  <c r="E310" i="29" s="1"/>
  <c r="I60" i="3"/>
  <c r="E282" i="29" s="1"/>
  <c r="H8" i="53"/>
  <c r="O81" i="3"/>
  <c r="G8" i="52"/>
  <c r="I8"/>
  <c r="H8"/>
  <c r="M51" i="3"/>
  <c r="E236" i="29" s="1"/>
  <c r="M50" i="3"/>
  <c r="G50"/>
  <c r="M82"/>
  <c r="G82"/>
  <c r="H87"/>
  <c r="K87"/>
  <c r="G87"/>
  <c r="M87"/>
  <c r="Q66"/>
  <c r="Q65" s="1"/>
  <c r="K62"/>
  <c r="E338" i="29" s="1"/>
  <c r="K66" i="3"/>
  <c r="K65" s="1"/>
  <c r="H82"/>
  <c r="H83"/>
  <c r="N83"/>
  <c r="N87"/>
  <c r="N88"/>
  <c r="N82"/>
  <c r="Q86"/>
  <c r="Q83"/>
  <c r="K81"/>
  <c r="Q81"/>
  <c r="Q88"/>
  <c r="K83"/>
  <c r="H51"/>
  <c r="N51"/>
  <c r="H50"/>
  <c r="N49"/>
  <c r="N50"/>
  <c r="H49"/>
  <c r="Q48"/>
  <c r="E341" i="29" s="1"/>
  <c r="K51" i="3"/>
  <c r="E330" i="29" s="1"/>
  <c r="K48" i="3"/>
  <c r="E328" i="29" s="1"/>
  <c r="Q51" i="3"/>
  <c r="E343" i="29" s="1"/>
  <c r="Q49" i="3"/>
  <c r="K50"/>
  <c r="Q50"/>
  <c r="K49"/>
  <c r="G51"/>
  <c r="E223" i="29" s="1"/>
  <c r="N86" i="3"/>
  <c r="G49"/>
  <c r="G66"/>
  <c r="G65" s="1"/>
  <c r="M66"/>
  <c r="M65" s="1"/>
  <c r="G62"/>
  <c r="E231" i="29" s="1"/>
  <c r="H83" i="8"/>
  <c r="G13" i="23"/>
  <c r="M88" i="3"/>
  <c r="M86"/>
  <c r="H62"/>
  <c r="H66"/>
  <c r="K60"/>
  <c r="E336" i="29" s="1"/>
  <c r="Q60" i="3"/>
  <c r="E349" i="29" s="1"/>
  <c r="I85" i="3" l="1"/>
  <c r="J85"/>
  <c r="J90" s="1"/>
  <c r="J42" s="1"/>
  <c r="E294" i="29"/>
  <c r="E292"/>
  <c r="E287"/>
  <c r="E295"/>
  <c r="E290"/>
  <c r="E293"/>
  <c r="E291"/>
  <c r="E257"/>
  <c r="E249"/>
  <c r="E262"/>
  <c r="I48" i="22"/>
  <c r="G119" i="29"/>
  <c r="G133" s="1"/>
  <c r="I30" i="22"/>
  <c r="N50" i="23"/>
  <c r="M50"/>
  <c r="L50"/>
  <c r="H124" i="3"/>
  <c r="I39" i="22" s="1"/>
  <c r="J59" i="3"/>
  <c r="J69" s="1"/>
  <c r="J40" s="1"/>
  <c r="O47"/>
  <c r="P47"/>
  <c r="I59"/>
  <c r="E342" i="29"/>
  <c r="E261"/>
  <c r="E329"/>
  <c r="E248"/>
  <c r="E222"/>
  <c r="E221"/>
  <c r="N85" i="3"/>
  <c r="Q85"/>
  <c r="G43" i="23"/>
  <c r="M49" i="3"/>
  <c r="H65"/>
  <c r="M85"/>
  <c r="H85" i="22" l="1"/>
  <c r="I57"/>
  <c r="G125" i="29"/>
  <c r="E235"/>
  <c r="H35" i="9" l="1"/>
  <c r="G34" i="11"/>
  <c r="I34"/>
  <c r="G33" i="7"/>
  <c r="H34" i="11"/>
  <c r="I35" i="9"/>
  <c r="H33" i="7"/>
  <c r="I33"/>
  <c r="G35" i="9"/>
  <c r="H35" i="8" l="1"/>
  <c r="H62" i="12"/>
  <c r="H65" s="1"/>
  <c r="G30" i="9"/>
  <c r="G44" i="12"/>
  <c r="I25" i="7"/>
  <c r="I53" i="12"/>
  <c r="H26" i="10"/>
  <c r="G35" i="12"/>
  <c r="I53" i="8"/>
  <c r="G44" i="10"/>
  <c r="H44" i="8"/>
  <c r="G19" i="23" s="1"/>
  <c r="H35" i="12"/>
  <c r="G53" i="10"/>
  <c r="G56" s="1"/>
  <c r="G35" i="8"/>
  <c r="G62" i="12"/>
  <c r="G65" s="1"/>
  <c r="H26"/>
  <c r="G26"/>
  <c r="H44"/>
  <c r="H62" i="8"/>
  <c r="H65" s="1"/>
  <c r="G26" i="10"/>
  <c r="I35"/>
  <c r="I44" i="12"/>
  <c r="I44" i="10"/>
  <c r="H13" i="8"/>
  <c r="I53" i="10"/>
  <c r="H13"/>
  <c r="G53" i="8"/>
  <c r="G56" s="1"/>
  <c r="G53" i="12"/>
  <c r="G56" s="1"/>
  <c r="I62" i="10"/>
  <c r="I26"/>
  <c r="H62"/>
  <c r="H65" s="1"/>
  <c r="I35" i="8"/>
  <c r="G13" i="10"/>
  <c r="H25" i="7"/>
  <c r="H31" i="4"/>
  <c r="I26" i="8"/>
  <c r="H35" i="10"/>
  <c r="I44" i="8"/>
  <c r="H19" i="23" s="1"/>
  <c r="I62" i="12"/>
  <c r="H30" i="9"/>
  <c r="H53" i="10"/>
  <c r="H56" s="1"/>
  <c r="H26" i="8"/>
  <c r="G31" i="4"/>
  <c r="G34" s="1"/>
  <c r="H13"/>
  <c r="G13" i="8"/>
  <c r="H53" i="12"/>
  <c r="H56" s="1"/>
  <c r="G62" i="10"/>
  <c r="G65" s="1"/>
  <c r="H14" i="7"/>
  <c r="H53" i="8"/>
  <c r="H56" s="1"/>
  <c r="I13"/>
  <c r="H10" i="23" s="1"/>
  <c r="G44" i="8"/>
  <c r="H13" i="6"/>
  <c r="T26" i="23"/>
  <c r="H13" i="5"/>
  <c r="I80" i="3" s="1"/>
  <c r="I90" s="1"/>
  <c r="I31" i="4"/>
  <c r="I35" i="12"/>
  <c r="I13" i="5"/>
  <c r="H44" i="10"/>
  <c r="G13" i="4"/>
  <c r="G35" i="10"/>
  <c r="I14" i="7"/>
  <c r="I26" i="12"/>
  <c r="G13" i="6"/>
  <c r="G16" s="1"/>
  <c r="G8" s="1"/>
  <c r="G126" i="3" s="1"/>
  <c r="K38" i="22" s="1"/>
  <c r="G26" i="8"/>
  <c r="G62"/>
  <c r="G65" s="1"/>
  <c r="I13" i="4"/>
  <c r="G14" i="7"/>
  <c r="G25"/>
  <c r="I62" i="8"/>
  <c r="I13" i="6"/>
  <c r="G13" i="5"/>
  <c r="G16" s="1"/>
  <c r="G8" s="1"/>
  <c r="I13" i="10"/>
  <c r="H79" i="22" l="1"/>
  <c r="I42" i="3"/>
  <c r="I18" i="23"/>
  <c r="K19"/>
  <c r="K10"/>
  <c r="J19"/>
  <c r="J10"/>
  <c r="I19"/>
  <c r="I10"/>
  <c r="I12"/>
  <c r="K12"/>
  <c r="K18"/>
  <c r="J12"/>
  <c r="J18"/>
  <c r="G123" i="3"/>
  <c r="H38" i="22" s="1"/>
  <c r="I47" i="3"/>
  <c r="I69" s="1"/>
  <c r="I40" s="1"/>
  <c r="H14" i="22"/>
  <c r="F153" i="29" s="1"/>
  <c r="F202" s="1"/>
  <c r="T18" i="23"/>
  <c r="I29" i="12"/>
  <c r="T12" i="23"/>
  <c r="H29" i="11"/>
  <c r="S26" i="23"/>
  <c r="S12"/>
  <c r="H38" i="12"/>
  <c r="S48" i="23" s="1"/>
  <c r="S18"/>
  <c r="K54" i="3"/>
  <c r="T19" i="23"/>
  <c r="H47" i="12"/>
  <c r="S49" i="23" s="1"/>
  <c r="S19"/>
  <c r="G7" i="11"/>
  <c r="R26" i="23"/>
  <c r="G29" i="12"/>
  <c r="R42" i="23" s="1"/>
  <c r="R12"/>
  <c r="G38" i="12"/>
  <c r="R48" i="23" s="1"/>
  <c r="R18"/>
  <c r="G47" i="12"/>
  <c r="R49" i="23" s="1"/>
  <c r="R19"/>
  <c r="H47" i="10"/>
  <c r="H18" i="9"/>
  <c r="I18"/>
  <c r="H38" i="10"/>
  <c r="H29"/>
  <c r="I47"/>
  <c r="G29"/>
  <c r="G47"/>
  <c r="G38"/>
  <c r="G16"/>
  <c r="F10" i="23"/>
  <c r="I17" i="7"/>
  <c r="H26" i="23"/>
  <c r="H17" i="7"/>
  <c r="G26" i="23"/>
  <c r="G17" i="7"/>
  <c r="F26" i="23"/>
  <c r="H16" i="8"/>
  <c r="G40" i="23" s="1"/>
  <c r="G10"/>
  <c r="H28" i="7"/>
  <c r="G28"/>
  <c r="G12" i="23"/>
  <c r="H12"/>
  <c r="F12"/>
  <c r="H18"/>
  <c r="G18"/>
  <c r="F18"/>
  <c r="H47" i="8"/>
  <c r="G49" i="23" s="1"/>
  <c r="G47" i="8"/>
  <c r="F19" i="23"/>
  <c r="H38" i="8"/>
  <c r="G48" i="23" s="1"/>
  <c r="G38" i="8"/>
  <c r="G16"/>
  <c r="H29"/>
  <c r="G42" i="23" s="1"/>
  <c r="I29" i="8"/>
  <c r="K82" i="3"/>
  <c r="K80" s="1"/>
  <c r="G83"/>
  <c r="G88"/>
  <c r="H88"/>
  <c r="K88"/>
  <c r="G86"/>
  <c r="H86"/>
  <c r="K86"/>
  <c r="H16" i="5"/>
  <c r="O80" i="3" s="1"/>
  <c r="O90" s="1"/>
  <c r="H81"/>
  <c r="H80" s="1"/>
  <c r="H34" i="4"/>
  <c r="H16"/>
  <c r="G81" i="3"/>
  <c r="H48"/>
  <c r="K55"/>
  <c r="G54"/>
  <c r="K53"/>
  <c r="G55"/>
  <c r="G61"/>
  <c r="K56"/>
  <c r="G56"/>
  <c r="K61"/>
  <c r="H56"/>
  <c r="H53"/>
  <c r="H61"/>
  <c r="I65" i="8"/>
  <c r="M56" i="3" s="1"/>
  <c r="E241" i="29" s="1"/>
  <c r="H7" i="11"/>
  <c r="G7" i="5"/>
  <c r="I56" i="12"/>
  <c r="Q55" i="3" s="1"/>
  <c r="E347" i="29" s="1"/>
  <c r="G52" i="3"/>
  <c r="G7" i="12"/>
  <c r="I7" i="8"/>
  <c r="I30" i="9"/>
  <c r="G7" i="4"/>
  <c r="G115" i="3" s="1"/>
  <c r="G33" i="22" s="1"/>
  <c r="G7" i="6"/>
  <c r="G119" i="3" s="1"/>
  <c r="K33" i="22" s="1"/>
  <c r="H7" i="9"/>
  <c r="H7" i="10"/>
  <c r="H60" i="3"/>
  <c r="I7" i="5"/>
  <c r="I16"/>
  <c r="I65" i="12"/>
  <c r="Q56" i="3" s="1"/>
  <c r="E348" i="29" s="1"/>
  <c r="I16" i="8"/>
  <c r="G7" i="10"/>
  <c r="I47" i="12"/>
  <c r="I38" i="10"/>
  <c r="I56" i="8"/>
  <c r="M55" i="3" s="1"/>
  <c r="E240" i="29" s="1"/>
  <c r="G16" i="4"/>
  <c r="G8" s="1"/>
  <c r="G122" i="3" s="1"/>
  <c r="G38" i="22" s="1"/>
  <c r="H7" i="5"/>
  <c r="G29" i="11"/>
  <c r="G7" i="7"/>
  <c r="I7" i="12"/>
  <c r="I34" i="4"/>
  <c r="G48" i="3"/>
  <c r="I7" i="9"/>
  <c r="I47" i="8"/>
  <c r="I65" i="10"/>
  <c r="I16" i="4"/>
  <c r="I7"/>
  <c r="I115" i="3" s="1"/>
  <c r="G35" i="22" s="1"/>
  <c r="G7" i="8"/>
  <c r="G29"/>
  <c r="G18" i="9"/>
  <c r="G7"/>
  <c r="I16" i="10"/>
  <c r="I7"/>
  <c r="I7" i="6"/>
  <c r="I119" i="3" s="1"/>
  <c r="K35" i="22" s="1"/>
  <c r="I16" i="6"/>
  <c r="H7" i="7"/>
  <c r="I38" i="8"/>
  <c r="G53" i="3"/>
  <c r="H7" i="12"/>
  <c r="H29"/>
  <c r="H7" i="8"/>
  <c r="I38" i="12"/>
  <c r="K52" i="3"/>
  <c r="H7" i="4"/>
  <c r="H115" i="3" s="1"/>
  <c r="G34" i="22" s="1"/>
  <c r="H16" i="10"/>
  <c r="H52" i="3"/>
  <c r="I29" i="10"/>
  <c r="I7" i="7"/>
  <c r="G60" i="3"/>
  <c r="I29" i="11"/>
  <c r="T56" i="23" s="1"/>
  <c r="I7" i="11"/>
  <c r="H16" i="6"/>
  <c r="H7"/>
  <c r="H119" i="3" s="1"/>
  <c r="K34" i="22" s="1"/>
  <c r="I56" i="10"/>
  <c r="H55" i="3"/>
  <c r="H54"/>
  <c r="I28" i="7"/>
  <c r="H109" i="22" l="1"/>
  <c r="O42" i="3"/>
  <c r="I56" i="23"/>
  <c r="I49"/>
  <c r="J40"/>
  <c r="I42"/>
  <c r="K40"/>
  <c r="I40"/>
  <c r="K49"/>
  <c r="J56"/>
  <c r="J48"/>
  <c r="I48"/>
  <c r="J42"/>
  <c r="J49"/>
  <c r="K48"/>
  <c r="K42"/>
  <c r="K56"/>
  <c r="H102" i="3"/>
  <c r="I102"/>
  <c r="G102"/>
  <c r="H21" i="22" s="1"/>
  <c r="H45" s="1"/>
  <c r="I116" i="3"/>
  <c r="H35" i="22" s="1"/>
  <c r="H116" i="3"/>
  <c r="H34" i="22" s="1"/>
  <c r="G116" i="3"/>
  <c r="H33" i="22" s="1"/>
  <c r="N61" i="3"/>
  <c r="N56"/>
  <c r="N55"/>
  <c r="E252" i="29"/>
  <c r="E253"/>
  <c r="E255"/>
  <c r="E256"/>
  <c r="E254"/>
  <c r="E251"/>
  <c r="H24" i="22"/>
  <c r="H48" s="1"/>
  <c r="K24"/>
  <c r="K48" s="1"/>
  <c r="G24"/>
  <c r="G48" s="1"/>
  <c r="G30"/>
  <c r="G57" s="1"/>
  <c r="H11"/>
  <c r="F150" i="29" s="1"/>
  <c r="F193" s="1"/>
  <c r="G11" i="22"/>
  <c r="E150" i="29" s="1"/>
  <c r="E193" s="1"/>
  <c r="G9" i="22"/>
  <c r="E148" i="29" s="1"/>
  <c r="E191" s="1"/>
  <c r="G10" i="22"/>
  <c r="G14"/>
  <c r="E153" i="29" s="1"/>
  <c r="E202" s="1"/>
  <c r="E247"/>
  <c r="E250"/>
  <c r="E220"/>
  <c r="M61" i="3"/>
  <c r="E243" i="29" s="1"/>
  <c r="E331"/>
  <c r="E332"/>
  <c r="E335"/>
  <c r="E333"/>
  <c r="E334"/>
  <c r="K59" i="3"/>
  <c r="E337" i="29"/>
  <c r="E229"/>
  <c r="E226"/>
  <c r="E224"/>
  <c r="E227"/>
  <c r="E225"/>
  <c r="E228"/>
  <c r="E230"/>
  <c r="H8" i="12"/>
  <c r="S42" i="23"/>
  <c r="S56"/>
  <c r="Q53" i="3"/>
  <c r="E345" i="29" s="1"/>
  <c r="T48" i="23"/>
  <c r="T42"/>
  <c r="Q54" i="3"/>
  <c r="E346" i="29" s="1"/>
  <c r="T49" i="23"/>
  <c r="R56"/>
  <c r="N53" i="3"/>
  <c r="N54"/>
  <c r="N52"/>
  <c r="F40" i="23"/>
  <c r="F49"/>
  <c r="F48"/>
  <c r="F42"/>
  <c r="G56"/>
  <c r="M60" i="3"/>
  <c r="H56" i="23"/>
  <c r="F56"/>
  <c r="H48"/>
  <c r="H42"/>
  <c r="M54" i="3"/>
  <c r="E239" i="29" s="1"/>
  <c r="H49" i="23"/>
  <c r="M53" i="3"/>
  <c r="E238" i="29" s="1"/>
  <c r="M48" i="3"/>
  <c r="H40" i="23"/>
  <c r="G105" i="3"/>
  <c r="G8" i="12"/>
  <c r="R50" i="23" s="1"/>
  <c r="H8" i="10"/>
  <c r="G8"/>
  <c r="H8" i="8"/>
  <c r="G8"/>
  <c r="M81" i="3"/>
  <c r="M83"/>
  <c r="N60"/>
  <c r="H8" i="6"/>
  <c r="H126" i="3" s="1"/>
  <c r="Q82"/>
  <c r="Q80" s="1"/>
  <c r="Q90" s="1"/>
  <c r="H121" i="22" s="1"/>
  <c r="H8" i="5"/>
  <c r="N81" i="3"/>
  <c r="N80" s="1"/>
  <c r="N90" s="1"/>
  <c r="H103" i="22" s="1"/>
  <c r="H85" i="3"/>
  <c r="H90" s="1"/>
  <c r="H73" i="22" s="1"/>
  <c r="K85" i="3"/>
  <c r="K90" s="1"/>
  <c r="H91" i="22" s="1"/>
  <c r="G80" i="3"/>
  <c r="H8" i="4"/>
  <c r="H122" i="3" s="1"/>
  <c r="M52"/>
  <c r="G59"/>
  <c r="H59"/>
  <c r="K47"/>
  <c r="Q52"/>
  <c r="G85"/>
  <c r="H105"/>
  <c r="G101"/>
  <c r="G47"/>
  <c r="I101"/>
  <c r="H47"/>
  <c r="I8" i="5"/>
  <c r="I8" i="12"/>
  <c r="I105" i="3"/>
  <c r="H101"/>
  <c r="I8" i="6"/>
  <c r="I126" i="3" s="1"/>
  <c r="K40" i="22" s="1"/>
  <c r="I8" i="10"/>
  <c r="N48" i="3"/>
  <c r="I8" i="4"/>
  <c r="I122" i="3" s="1"/>
  <c r="G40" i="22" s="1"/>
  <c r="I8" i="8"/>
  <c r="Q61" i="3"/>
  <c r="E350" i="29" s="1"/>
  <c r="E269" l="1"/>
  <c r="E266"/>
  <c r="E267"/>
  <c r="H30" i="22"/>
  <c r="H57" s="1"/>
  <c r="J50" i="23"/>
  <c r="I50"/>
  <c r="K50"/>
  <c r="H123" i="3"/>
  <c r="H39" i="22" s="1"/>
  <c r="G44" i="38" s="1"/>
  <c r="I123" i="3"/>
  <c r="H40" i="22" s="1"/>
  <c r="F119" i="29"/>
  <c r="E119"/>
  <c r="E125"/>
  <c r="I119"/>
  <c r="G39" i="22"/>
  <c r="F44" i="38" s="1"/>
  <c r="F46" s="1"/>
  <c r="K22" i="22"/>
  <c r="K46" s="1"/>
  <c r="G22"/>
  <c r="G46" s="1"/>
  <c r="H23"/>
  <c r="H47" s="1"/>
  <c r="K30"/>
  <c r="K57" s="1"/>
  <c r="G23"/>
  <c r="G47" s="1"/>
  <c r="G21"/>
  <c r="G45" s="1"/>
  <c r="K23"/>
  <c r="K47" s="1"/>
  <c r="H22"/>
  <c r="H46" s="1"/>
  <c r="K39"/>
  <c r="H44" i="38" s="1"/>
  <c r="H46" s="1"/>
  <c r="K21" i="22"/>
  <c r="K45" s="1"/>
  <c r="G38" i="28"/>
  <c r="G97"/>
  <c r="E149" i="29"/>
  <c r="E25" s="1"/>
  <c r="E344"/>
  <c r="E234"/>
  <c r="E237"/>
  <c r="E263"/>
  <c r="E260"/>
  <c r="E265"/>
  <c r="E264"/>
  <c r="E242"/>
  <c r="E268"/>
  <c r="K69" i="3"/>
  <c r="K40" s="1"/>
  <c r="H31" s="1"/>
  <c r="T50" i="23"/>
  <c r="S50"/>
  <c r="F50"/>
  <c r="G50"/>
  <c r="H50"/>
  <c r="Q47" i="3"/>
  <c r="N47"/>
  <c r="M47"/>
  <c r="M80"/>
  <c r="M90" s="1"/>
  <c r="H9" i="22"/>
  <c r="F148" i="29" s="1"/>
  <c r="F191" s="1"/>
  <c r="N42" i="3"/>
  <c r="O30" s="1"/>
  <c r="Q42"/>
  <c r="O31" s="1"/>
  <c r="G69"/>
  <c r="G40" s="1"/>
  <c r="H29" s="1"/>
  <c r="G90"/>
  <c r="H69"/>
  <c r="H40" s="1"/>
  <c r="H30" s="1"/>
  <c r="K42"/>
  <c r="N31" s="1"/>
  <c r="H42"/>
  <c r="N30" s="1"/>
  <c r="F116" i="29"/>
  <c r="F128" s="1"/>
  <c r="K51" i="22" l="1"/>
  <c r="G91" s="1"/>
  <c r="J91" s="1"/>
  <c r="G51"/>
  <c r="G67" s="1"/>
  <c r="F125" i="29"/>
  <c r="F133"/>
  <c r="G42" i="3"/>
  <c r="N29" s="1"/>
  <c r="H67" i="22"/>
  <c r="I116" i="29"/>
  <c r="F117"/>
  <c r="F129" s="1"/>
  <c r="F134" s="1"/>
  <c r="E118"/>
  <c r="E130" s="1"/>
  <c r="E135" s="1"/>
  <c r="F118"/>
  <c r="F130" s="1"/>
  <c r="F135" s="1"/>
  <c r="I117"/>
  <c r="M42" i="3"/>
  <c r="O29" s="1"/>
  <c r="H97" i="22"/>
  <c r="I118" i="29"/>
  <c r="E116"/>
  <c r="E128" s="1"/>
  <c r="E133" s="1"/>
  <c r="I125"/>
  <c r="E117"/>
  <c r="E129" s="1"/>
  <c r="E134" s="1"/>
  <c r="G97"/>
  <c r="E97"/>
  <c r="F97"/>
  <c r="K10" i="22"/>
  <c r="E192" i="29"/>
  <c r="G107"/>
  <c r="F107"/>
  <c r="F197" s="1"/>
  <c r="H71" i="28"/>
  <c r="I71" s="1"/>
  <c r="J71" s="1"/>
  <c r="K71" s="1"/>
  <c r="L71" s="1"/>
  <c r="E107" i="29"/>
  <c r="K9" i="22"/>
  <c r="I148" i="29" s="1"/>
  <c r="G191" s="1"/>
  <c r="K11" i="22"/>
  <c r="I150" i="29" s="1"/>
  <c r="G193" s="1"/>
  <c r="H10" i="22"/>
  <c r="G16"/>
  <c r="E155" i="29" s="1"/>
  <c r="E204" s="1"/>
  <c r="I130" l="1"/>
  <c r="I135" s="1"/>
  <c r="I128"/>
  <c r="I133" s="1"/>
  <c r="I129"/>
  <c r="I134" s="1"/>
  <c r="J67" i="22"/>
  <c r="I142" i="28"/>
  <c r="I143" s="1"/>
  <c r="H83"/>
  <c r="G44"/>
  <c r="G103"/>
  <c r="G62"/>
  <c r="G65" s="1"/>
  <c r="H72"/>
  <c r="G109" i="29"/>
  <c r="I24" s="1"/>
  <c r="G197"/>
  <c r="G199" s="1"/>
  <c r="E109"/>
  <c r="E24" s="1"/>
  <c r="E197"/>
  <c r="E199" s="1"/>
  <c r="F149"/>
  <c r="G121" i="28"/>
  <c r="G124" s="1"/>
  <c r="I149" i="29"/>
  <c r="I25" s="1"/>
  <c r="O142" i="28"/>
  <c r="O143" s="1"/>
  <c r="P142"/>
  <c r="P143" s="1"/>
  <c r="L142"/>
  <c r="L143" s="1"/>
  <c r="H142"/>
  <c r="H143" s="1"/>
  <c r="K142"/>
  <c r="K143" s="1"/>
  <c r="J142"/>
  <c r="J143" s="1"/>
  <c r="Q142"/>
  <c r="Q143" s="1"/>
  <c r="M142"/>
  <c r="M143" s="1"/>
  <c r="N142"/>
  <c r="N143" s="1"/>
  <c r="H130"/>
  <c r="I130" s="1"/>
  <c r="G15" i="22"/>
  <c r="H16"/>
  <c r="F155" i="29" s="1"/>
  <c r="F204" s="1"/>
  <c r="H15" i="22"/>
  <c r="I111" i="28" s="1"/>
  <c r="K13" l="1"/>
  <c r="K18" s="1"/>
  <c r="I159" i="29" s="1"/>
  <c r="I16" s="1"/>
  <c r="I30" s="1"/>
  <c r="I35" s="1"/>
  <c r="O41" i="36"/>
  <c r="K9" i="28"/>
  <c r="K17" s="1"/>
  <c r="I158" i="29" s="1"/>
  <c r="I14" s="1"/>
  <c r="N41" i="36"/>
  <c r="L111" i="28"/>
  <c r="P111"/>
  <c r="K111"/>
  <c r="O111"/>
  <c r="M111"/>
  <c r="Q111"/>
  <c r="J111"/>
  <c r="N111"/>
  <c r="O117"/>
  <c r="K117"/>
  <c r="P117"/>
  <c r="L117"/>
  <c r="H117"/>
  <c r="N117"/>
  <c r="J117"/>
  <c r="Q117"/>
  <c r="M117"/>
  <c r="I117"/>
  <c r="H52"/>
  <c r="J83"/>
  <c r="J84" s="1"/>
  <c r="H84"/>
  <c r="K83"/>
  <c r="K84" s="1"/>
  <c r="L83"/>
  <c r="L84" s="1"/>
  <c r="I83"/>
  <c r="I84" s="1"/>
  <c r="H45"/>
  <c r="I45" s="1"/>
  <c r="H104"/>
  <c r="J39"/>
  <c r="J40" s="1"/>
  <c r="K39"/>
  <c r="K40" s="1"/>
  <c r="H39"/>
  <c r="H40" s="1"/>
  <c r="L39"/>
  <c r="L40" s="1"/>
  <c r="I39"/>
  <c r="I40" s="1"/>
  <c r="I72"/>
  <c r="F192" i="29"/>
  <c r="F25"/>
  <c r="G192"/>
  <c r="F154"/>
  <c r="O98" i="28"/>
  <c r="O99" s="1"/>
  <c r="E154" i="29"/>
  <c r="E26" s="1"/>
  <c r="G144" i="28"/>
  <c r="K14" s="1"/>
  <c r="H131"/>
  <c r="I131"/>
  <c r="J130"/>
  <c r="H98"/>
  <c r="H99" s="1"/>
  <c r="L98"/>
  <c r="L99" s="1"/>
  <c r="N98"/>
  <c r="N99" s="1"/>
  <c r="P98"/>
  <c r="P99" s="1"/>
  <c r="J98"/>
  <c r="J99" s="1"/>
  <c r="Q98"/>
  <c r="Q99" s="1"/>
  <c r="K98"/>
  <c r="K99" s="1"/>
  <c r="M98"/>
  <c r="M99" s="1"/>
  <c r="I98"/>
  <c r="I99" s="1"/>
  <c r="K24" l="1"/>
  <c r="K21"/>
  <c r="H105"/>
  <c r="I104"/>
  <c r="G211" i="29"/>
  <c r="G118" i="28"/>
  <c r="J13" s="1"/>
  <c r="G112"/>
  <c r="I13" s="1"/>
  <c r="I51"/>
  <c r="I52" s="1"/>
  <c r="H58"/>
  <c r="I57"/>
  <c r="H46"/>
  <c r="G85"/>
  <c r="K10" s="1"/>
  <c r="G100"/>
  <c r="I46"/>
  <c r="J45"/>
  <c r="G41"/>
  <c r="J72"/>
  <c r="F11" i="47"/>
  <c r="F203" i="29"/>
  <c r="F26"/>
  <c r="E203"/>
  <c r="G212"/>
  <c r="G113"/>
  <c r="J131" i="28"/>
  <c r="K130"/>
  <c r="G13" l="1"/>
  <c r="G18" s="1"/>
  <c r="G24" s="1"/>
  <c r="O33" i="36"/>
  <c r="G9" i="28"/>
  <c r="G17" s="1"/>
  <c r="E158" i="29" s="1"/>
  <c r="E14" s="1"/>
  <c r="N33" i="36"/>
  <c r="I105" i="28"/>
  <c r="J104"/>
  <c r="I15" i="29"/>
  <c r="I18" i="28"/>
  <c r="J18"/>
  <c r="J51"/>
  <c r="J52" s="1"/>
  <c r="I58"/>
  <c r="J57"/>
  <c r="J46"/>
  <c r="K45"/>
  <c r="L72"/>
  <c r="K72"/>
  <c r="G11" i="47"/>
  <c r="E170" i="29" s="1"/>
  <c r="I20"/>
  <c r="G208"/>
  <c r="G112"/>
  <c r="K131" i="28"/>
  <c r="L130"/>
  <c r="E211" i="29" l="1"/>
  <c r="I51" i="22"/>
  <c r="G79" s="1"/>
  <c r="J79" s="1"/>
  <c r="J51"/>
  <c r="G85" s="1"/>
  <c r="J85" s="1"/>
  <c r="H51"/>
  <c r="G73" s="1"/>
  <c r="J73" s="1"/>
  <c r="G30" i="38"/>
  <c r="K104" i="28"/>
  <c r="J105"/>
  <c r="I19" i="29"/>
  <c r="I29"/>
  <c r="I34" s="1"/>
  <c r="J24" i="28"/>
  <c r="H159" i="29"/>
  <c r="H16" s="1"/>
  <c r="I24" i="28"/>
  <c r="G159" i="29"/>
  <c r="G16" s="1"/>
  <c r="I13"/>
  <c r="K51" i="28"/>
  <c r="L51" s="1"/>
  <c r="L52" s="1"/>
  <c r="J58"/>
  <c r="K57"/>
  <c r="L45"/>
  <c r="L46" s="1"/>
  <c r="K46"/>
  <c r="G73"/>
  <c r="G183" i="29"/>
  <c r="G207"/>
  <c r="E159"/>
  <c r="E16" s="1"/>
  <c r="L131" i="28"/>
  <c r="M130"/>
  <c r="G34" i="47" l="1"/>
  <c r="E167" i="29"/>
  <c r="E178" s="1"/>
  <c r="L104" i="28"/>
  <c r="K105"/>
  <c r="K52"/>
  <c r="G53" s="1"/>
  <c r="I9" s="1"/>
  <c r="I17" s="1"/>
  <c r="G158" i="29" s="1"/>
  <c r="G14" s="1"/>
  <c r="H20"/>
  <c r="H30"/>
  <c r="H35" s="1"/>
  <c r="G20"/>
  <c r="G30"/>
  <c r="G35" s="1"/>
  <c r="K58" i="28"/>
  <c r="L57"/>
  <c r="L58" s="1"/>
  <c r="G47"/>
  <c r="G10"/>
  <c r="F92" i="29"/>
  <c r="F101"/>
  <c r="G76" i="28"/>
  <c r="G182" i="29"/>
  <c r="E20"/>
  <c r="E212"/>
  <c r="N130" i="28"/>
  <c r="M131"/>
  <c r="H9" l="1"/>
  <c r="H17" s="1"/>
  <c r="F158" i="29" s="1"/>
  <c r="F14" s="1"/>
  <c r="E162" s="1"/>
  <c r="N37" i="36"/>
  <c r="F34" i="47"/>
  <c r="E163" i="29"/>
  <c r="M104" i="28"/>
  <c r="L105"/>
  <c r="G59"/>
  <c r="J9" s="1"/>
  <c r="J17" s="1"/>
  <c r="H158" i="29" s="1"/>
  <c r="H14" s="1"/>
  <c r="E112"/>
  <c r="G135" i="28"/>
  <c r="F186" i="29"/>
  <c r="F188" s="1"/>
  <c r="F103"/>
  <c r="F23" s="1"/>
  <c r="E30"/>
  <c r="E35" s="1"/>
  <c r="N131" i="28"/>
  <c r="O130"/>
  <c r="F26" i="47" l="1"/>
  <c r="F211" i="29"/>
  <c r="N104" i="28"/>
  <c r="M105"/>
  <c r="E207" i="29"/>
  <c r="E13"/>
  <c r="E182" s="1"/>
  <c r="P130" i="28"/>
  <c r="O131"/>
  <c r="O104" l="1"/>
  <c r="N105"/>
  <c r="Q130"/>
  <c r="Q131" s="1"/>
  <c r="P131"/>
  <c r="P104" l="1"/>
  <c r="O105"/>
  <c r="G132"/>
  <c r="G14" s="1"/>
  <c r="G21" s="1"/>
  <c r="Q104" l="1"/>
  <c r="Q105" s="1"/>
  <c r="P105"/>
  <c r="E113" i="29"/>
  <c r="E15" s="1"/>
  <c r="G106" i="28" l="1"/>
  <c r="E208" i="29"/>
  <c r="H13" i="28" l="1"/>
  <c r="H18" s="1"/>
  <c r="F159" i="29" s="1"/>
  <c r="O37" i="36"/>
  <c r="E183" i="29"/>
  <c r="E19"/>
  <c r="E29"/>
  <c r="E34" s="1"/>
  <c r="H24" i="28" l="1"/>
  <c r="F16" i="29"/>
  <c r="F212"/>
  <c r="E166" l="1"/>
  <c r="E174" s="1"/>
  <c r="G26" i="47"/>
  <c r="F20" i="29"/>
  <c r="F30"/>
  <c r="F35" s="1"/>
  <c r="G26" i="19" l="1"/>
  <c r="G49" s="1"/>
  <c r="G53" l="1"/>
  <c r="F39" i="39" l="1"/>
  <c r="G56" i="19"/>
  <c r="G59" s="1"/>
  <c r="G57" l="1"/>
  <c r="G42" i="55" l="1"/>
  <c r="G42" i="9"/>
  <c r="G42" i="51"/>
  <c r="G37" i="55"/>
  <c r="G37" i="51"/>
  <c r="L57" i="23" s="1"/>
  <c r="F9" i="39"/>
  <c r="F10" s="1"/>
  <c r="G41" i="38" s="1"/>
  <c r="F108" i="29" s="1"/>
  <c r="F98" s="1"/>
  <c r="G64" i="19"/>
  <c r="G35" i="7"/>
  <c r="G36" i="11"/>
  <c r="G37" i="9"/>
  <c r="H42" l="1"/>
  <c r="H42" i="51"/>
  <c r="H42" i="55"/>
  <c r="O57" i="23"/>
  <c r="G8" i="55"/>
  <c r="G111" i="3" s="1"/>
  <c r="J27" i="22" s="1"/>
  <c r="H37" i="55"/>
  <c r="I57" i="23"/>
  <c r="G8" i="51"/>
  <c r="H37"/>
  <c r="M57" i="23" s="1"/>
  <c r="G46" i="38"/>
  <c r="F109" i="29" s="1"/>
  <c r="F198"/>
  <c r="F57" i="23"/>
  <c r="G8" i="7"/>
  <c r="G108" i="3" s="1"/>
  <c r="G27" i="22" s="1"/>
  <c r="R57" i="23"/>
  <c r="G8" i="11"/>
  <c r="G112" i="3" s="1"/>
  <c r="K27" i="22" s="1"/>
  <c r="H36" i="11"/>
  <c r="H35" i="7"/>
  <c r="H37" i="9"/>
  <c r="G8"/>
  <c r="F24" i="29" l="1"/>
  <c r="F106"/>
  <c r="I42" i="51"/>
  <c r="O66" i="3" s="1"/>
  <c r="I42" i="9"/>
  <c r="I42" i="55"/>
  <c r="P66" i="3" s="1"/>
  <c r="E325" i="29" s="1"/>
  <c r="I37" i="55"/>
  <c r="P62" i="3" s="1"/>
  <c r="E324" i="29" s="1"/>
  <c r="J54" i="22"/>
  <c r="H122" i="29"/>
  <c r="H143" s="1"/>
  <c r="H138" s="1"/>
  <c r="P57" i="23"/>
  <c r="H8" i="55"/>
  <c r="H111" i="3" s="1"/>
  <c r="J28" i="22" s="1"/>
  <c r="J57" i="23"/>
  <c r="G110" i="3"/>
  <c r="I27" i="22" s="1"/>
  <c r="I37" i="51"/>
  <c r="H8"/>
  <c r="G109" i="3"/>
  <c r="H27" i="22" s="1"/>
  <c r="H54" s="1"/>
  <c r="H136" i="28"/>
  <c r="I136" s="1"/>
  <c r="I137" s="1"/>
  <c r="H77"/>
  <c r="I77" s="1"/>
  <c r="J77" s="1"/>
  <c r="H8" i="9"/>
  <c r="I122" i="29"/>
  <c r="K54" i="22"/>
  <c r="H8" i="7"/>
  <c r="H108" i="3" s="1"/>
  <c r="G28" i="22" s="1"/>
  <c r="G57" i="23"/>
  <c r="I35" i="7"/>
  <c r="I36" i="11"/>
  <c r="I37" i="9"/>
  <c r="G54" i="22"/>
  <c r="E122" i="29"/>
  <c r="E143" s="1"/>
  <c r="E138" s="1"/>
  <c r="S57" i="23"/>
  <c r="H8" i="11"/>
  <c r="H112" i="3" s="1"/>
  <c r="K28" i="22" s="1"/>
  <c r="F196" i="29" l="1"/>
  <c r="F199" s="1"/>
  <c r="F93"/>
  <c r="E298"/>
  <c r="N57" i="23"/>
  <c r="O62" i="3"/>
  <c r="J55" i="22"/>
  <c r="H123" i="29"/>
  <c r="H144" s="1"/>
  <c r="H139" s="1"/>
  <c r="Q57" i="23"/>
  <c r="I8" i="55"/>
  <c r="I111" i="3" s="1"/>
  <c r="J29" i="22" s="1"/>
  <c r="I54"/>
  <c r="G122" i="29"/>
  <c r="G143" s="1"/>
  <c r="G138" s="1"/>
  <c r="I143"/>
  <c r="I138" s="1"/>
  <c r="K57" i="23"/>
  <c r="H110" i="3"/>
  <c r="I28" i="22" s="1"/>
  <c r="P65" i="3"/>
  <c r="P59"/>
  <c r="I8" i="51"/>
  <c r="H109" i="3"/>
  <c r="H28" i="22" s="1"/>
  <c r="F122" i="29"/>
  <c r="F143" s="1"/>
  <c r="F138" s="1"/>
  <c r="N66" i="3"/>
  <c r="O65"/>
  <c r="J136" i="28"/>
  <c r="J137" s="1"/>
  <c r="I78"/>
  <c r="H137"/>
  <c r="H78"/>
  <c r="G55" i="22"/>
  <c r="E123" i="29"/>
  <c r="E144" s="1"/>
  <c r="E139" s="1"/>
  <c r="I8" i="9"/>
  <c r="N62" i="3"/>
  <c r="I8" i="11"/>
  <c r="I112" i="3" s="1"/>
  <c r="K29" i="22" s="1"/>
  <c r="T57" i="23"/>
  <c r="Q62" i="3"/>
  <c r="K55" i="22"/>
  <c r="I123" i="29"/>
  <c r="H57" i="23"/>
  <c r="M62" i="3"/>
  <c r="I8" i="7"/>
  <c r="I108" i="3" s="1"/>
  <c r="G29" i="22" s="1"/>
  <c r="J78" i="28"/>
  <c r="K77"/>
  <c r="E297" i="29" l="1"/>
  <c r="O59" i="3"/>
  <c r="O69" s="1"/>
  <c r="O40" s="1"/>
  <c r="J56" i="22"/>
  <c r="J60" s="1"/>
  <c r="G115" s="1"/>
  <c r="J115" s="1"/>
  <c r="H124" i="29"/>
  <c r="H145" s="1"/>
  <c r="H140" s="1"/>
  <c r="N65" i="3"/>
  <c r="I55" i="22"/>
  <c r="G123" i="29"/>
  <c r="G144" s="1"/>
  <c r="G139" s="1"/>
  <c r="I144"/>
  <c r="I139" s="1"/>
  <c r="I110" i="3"/>
  <c r="I29" i="22" s="1"/>
  <c r="P69" i="3"/>
  <c r="P40" s="1"/>
  <c r="P67"/>
  <c r="I109"/>
  <c r="H29" i="22" s="1"/>
  <c r="H55"/>
  <c r="F123" i="29"/>
  <c r="F144" s="1"/>
  <c r="F139" s="1"/>
  <c r="E271"/>
  <c r="O67" i="3"/>
  <c r="K136" i="28"/>
  <c r="L136" s="1"/>
  <c r="I124" i="29"/>
  <c r="K56" i="22"/>
  <c r="K60" s="1"/>
  <c r="G121" s="1"/>
  <c r="J121" s="1"/>
  <c r="N59" i="3"/>
  <c r="E270" i="29"/>
  <c r="N67" i="3"/>
  <c r="G56" i="22"/>
  <c r="E124" i="29"/>
  <c r="E145" s="1"/>
  <c r="E140" s="1"/>
  <c r="E244"/>
  <c r="M59" i="3"/>
  <c r="M69" s="1"/>
  <c r="M40" s="1"/>
  <c r="I29" s="1"/>
  <c r="Q59"/>
  <c r="Q69" s="1"/>
  <c r="Q40" s="1"/>
  <c r="I31" s="1"/>
  <c r="E351" i="29"/>
  <c r="K78" i="28"/>
  <c r="L77"/>
  <c r="L78" s="1"/>
  <c r="G60" i="22" l="1"/>
  <c r="G97" s="1"/>
  <c r="J97" s="1"/>
  <c r="N69" i="3"/>
  <c r="N40" s="1"/>
  <c r="I30" s="1"/>
  <c r="I56" i="22"/>
  <c r="I60" s="1"/>
  <c r="G109" s="1"/>
  <c r="J109" s="1"/>
  <c r="G124" i="29"/>
  <c r="G145" s="1"/>
  <c r="G140" s="1"/>
  <c r="I145"/>
  <c r="I140" s="1"/>
  <c r="H56" i="22"/>
  <c r="H60" s="1"/>
  <c r="G103" s="1"/>
  <c r="J103" s="1"/>
  <c r="F124" i="29"/>
  <c r="F145" s="1"/>
  <c r="F140" s="1"/>
  <c r="K137" i="28"/>
  <c r="G79"/>
  <c r="H10" s="1"/>
  <c r="F112" i="29" s="1"/>
  <c r="L137" i="28"/>
  <c r="M136"/>
  <c r="F207" i="29" l="1"/>
  <c r="F13"/>
  <c r="F182" s="1"/>
  <c r="N136" i="28"/>
  <c r="M137"/>
  <c r="N137" l="1"/>
  <c r="O136"/>
  <c r="O137" l="1"/>
  <c r="P136"/>
  <c r="P137" l="1"/>
  <c r="Q136"/>
  <c r="Q137" s="1"/>
  <c r="G138" l="1"/>
  <c r="H14" l="1"/>
  <c r="H21" s="1"/>
  <c r="F113" i="29" l="1"/>
  <c r="F15" s="1"/>
  <c r="F183" l="1"/>
  <c r="F208"/>
  <c r="F29"/>
  <c r="F34" s="1"/>
  <c r="F19"/>
  <c r="O48" i="36" l="1"/>
  <c r="G138"/>
  <c r="F138"/>
  <c r="N48"/>
  <c r="G99"/>
  <c r="F99"/>
  <c r="N53" l="1"/>
  <c r="F103"/>
  <c r="G103"/>
  <c r="O53"/>
  <c r="F142"/>
  <c r="G142"/>
  <c r="N46" l="1"/>
  <c r="G97"/>
  <c r="F97"/>
  <c r="O46"/>
  <c r="F136"/>
  <c r="G136"/>
  <c r="O58"/>
  <c r="G146"/>
  <c r="F146"/>
  <c r="N58"/>
  <c r="G107"/>
  <c r="F107"/>
  <c r="O51" l="1"/>
  <c r="F140"/>
  <c r="G140"/>
  <c r="N51"/>
  <c r="G101"/>
  <c r="F101"/>
  <c r="N72"/>
  <c r="F111"/>
  <c r="G111"/>
  <c r="O72"/>
  <c r="G150"/>
  <c r="F150"/>
  <c r="N56" l="1"/>
  <c r="G105"/>
  <c r="F105"/>
  <c r="O56"/>
  <c r="F144"/>
  <c r="G144"/>
  <c r="O77"/>
  <c r="F156"/>
  <c r="G156"/>
  <c r="N77"/>
  <c r="G117"/>
  <c r="F117"/>
  <c r="O70" l="1"/>
  <c r="F148"/>
  <c r="G148"/>
  <c r="N70"/>
  <c r="F109"/>
  <c r="G109"/>
  <c r="N47"/>
  <c r="G98"/>
  <c r="F98"/>
  <c r="N82"/>
  <c r="F121"/>
  <c r="G121"/>
  <c r="O82"/>
  <c r="F160"/>
  <c r="G160"/>
  <c r="N75" l="1"/>
  <c r="G115"/>
  <c r="F115"/>
  <c r="O75"/>
  <c r="F154"/>
  <c r="G154"/>
  <c r="N52"/>
  <c r="F102"/>
  <c r="G102"/>
  <c r="O87"/>
  <c r="G164"/>
  <c r="F164"/>
  <c r="N87"/>
  <c r="G125"/>
  <c r="F125"/>
  <c r="O80" l="1"/>
  <c r="F158"/>
  <c r="G158"/>
  <c r="N80"/>
  <c r="G119"/>
  <c r="F119"/>
  <c r="N57"/>
  <c r="F106"/>
  <c r="G106"/>
  <c r="N92"/>
  <c r="G129"/>
  <c r="F129"/>
  <c r="O92"/>
  <c r="G168"/>
  <c r="F168"/>
  <c r="N85" l="1"/>
  <c r="F123"/>
  <c r="G123"/>
  <c r="O85"/>
  <c r="F162"/>
  <c r="G162"/>
  <c r="N71"/>
  <c r="N64"/>
  <c r="F110"/>
  <c r="G110"/>
  <c r="F172"/>
  <c r="G172"/>
  <c r="F133"/>
  <c r="G133"/>
  <c r="O90" l="1"/>
  <c r="F166"/>
  <c r="G166"/>
  <c r="N90"/>
  <c r="G127"/>
  <c r="F127"/>
  <c r="F113"/>
  <c r="G113"/>
  <c r="N76"/>
  <c r="G116"/>
  <c r="F116"/>
  <c r="G131" l="1"/>
  <c r="F131"/>
  <c r="G170"/>
  <c r="F170"/>
  <c r="N81"/>
  <c r="G120"/>
  <c r="F120"/>
  <c r="O47" l="1"/>
  <c r="G137"/>
  <c r="F137"/>
  <c r="N86"/>
  <c r="F124"/>
  <c r="G124"/>
  <c r="N91" l="1"/>
  <c r="G128"/>
  <c r="F128"/>
  <c r="O52"/>
  <c r="F141"/>
  <c r="G141"/>
  <c r="O57" l="1"/>
  <c r="G145"/>
  <c r="F145"/>
  <c r="F132"/>
  <c r="G132"/>
  <c r="O64" l="1"/>
  <c r="O71"/>
  <c r="F149"/>
  <c r="G149"/>
  <c r="O76" l="1"/>
  <c r="F155"/>
  <c r="G155"/>
  <c r="G152"/>
  <c r="F152"/>
  <c r="O81" l="1"/>
  <c r="G159"/>
  <c r="F159"/>
  <c r="O86" l="1"/>
  <c r="G163"/>
  <c r="F163"/>
  <c r="O91" l="1"/>
  <c r="F167"/>
  <c r="G167"/>
  <c r="F171" l="1"/>
  <c r="G171"/>
</calcChain>
</file>

<file path=xl/sharedStrings.xml><?xml version="1.0" encoding="utf-8"?>
<sst xmlns="http://schemas.openxmlformats.org/spreadsheetml/2006/main" count="7990" uniqueCount="701">
  <si>
    <t>Sheet:</t>
  </si>
  <si>
    <t>Description:</t>
  </si>
  <si>
    <t>Summary information and version history</t>
  </si>
  <si>
    <t>Title:</t>
  </si>
  <si>
    <t>Title</t>
  </si>
  <si>
    <t>Filename:</t>
  </si>
  <si>
    <t>Issue:</t>
  </si>
  <si>
    <t>Date:</t>
  </si>
  <si>
    <t>Author:</t>
  </si>
  <si>
    <t>CSMG</t>
  </si>
  <si>
    <t>Key</t>
  </si>
  <si>
    <t>Format</t>
  </si>
  <si>
    <t>Description</t>
  </si>
  <si>
    <t>Calculation</t>
  </si>
  <si>
    <t>Cell calculated by macro</t>
  </si>
  <si>
    <t>USN</t>
  </si>
  <si>
    <t>TPV</t>
  </si>
  <si>
    <t>LPL</t>
  </si>
  <si>
    <t>CATEGORY</t>
  </si>
  <si>
    <t>ITEM</t>
  </si>
  <si>
    <t>UNITS</t>
  </si>
  <si>
    <t>CAPEX</t>
  </si>
  <si>
    <t>OPEX</t>
  </si>
  <si>
    <t>High</t>
  </si>
  <si>
    <t>CP Costs</t>
  </si>
  <si>
    <t>Central Costs</t>
  </si>
  <si>
    <t>Retail CP costs</t>
  </si>
  <si>
    <t>Systems</t>
  </si>
  <si>
    <t>CRM Changes</t>
  </si>
  <si>
    <t>£</t>
  </si>
  <si>
    <t>Bill Calculation</t>
  </si>
  <si>
    <t>Customer Order Management Changes</t>
  </si>
  <si>
    <t>Service Order Management Changes</t>
  </si>
  <si>
    <t>Partner Management Changes</t>
  </si>
  <si>
    <t>Customer Problem Management Changes</t>
  </si>
  <si>
    <t>Service Problem Management Changes</t>
  </si>
  <si>
    <t>Total</t>
  </si>
  <si>
    <t>Process</t>
  </si>
  <si>
    <t>Customer Interface Management Changes</t>
  </si>
  <si>
    <t>Order Handling Changes</t>
  </si>
  <si>
    <t>Third Party Costs</t>
  </si>
  <si>
    <t>TPV Process Costs</t>
  </si>
  <si>
    <t>Hub System Costs</t>
  </si>
  <si>
    <t>TxCIA System Costs</t>
  </si>
  <si>
    <t>CCS System Costs</t>
  </si>
  <si>
    <t>Hub Process Costs</t>
  </si>
  <si>
    <t>TxCIA Process Costs</t>
  </si>
  <si>
    <t>CCS Process Costs</t>
  </si>
  <si>
    <t>Systems and Process</t>
  </si>
  <si>
    <t>Drop down Box</t>
  </si>
  <si>
    <t>Low</t>
  </si>
  <si>
    <t>Input assumptions for Central Costs - USN</t>
  </si>
  <si>
    <t>Cost Type</t>
  </si>
  <si>
    <t>ID</t>
  </si>
  <si>
    <t>DESCRIPTION</t>
  </si>
  <si>
    <t xml:space="preserve">- Front-end portal access to CPs 
- Near real-time interface / batch-interface for messages (requests, notifications and responses) between CP-Hub and TPV-Hub
database storage for A/C ref and customer/service related data
- A/C ref generation logic, A/C ref cancelling logic, A/C ref re-use logic, 
enough storage / CPU / memory to support the initial load on the system (this will include A/C ref generation for all services for all customers across CPs), 
- DR, back-up, restore, archiving costs, etc.
- Infrastructure covers Dev, Test, Pre-Prod, Prod environments </t>
  </si>
  <si>
    <t>Days</t>
  </si>
  <si>
    <t>CAPEX_INPUT</t>
  </si>
  <si>
    <t>%</t>
  </si>
  <si>
    <t>OPEX_INPUT</t>
  </si>
  <si>
    <t xml:space="preserve"> Incremental ongoing applicaation related costs to cater for additional storage, CPU, memory, etc. as the application grows in size</t>
  </si>
  <si>
    <t>#</t>
  </si>
  <si>
    <t>CAPEX _INPUT</t>
  </si>
  <si>
    <t># of staff in Hub - 20 people on a 33% basis (including 3 DBAs, 3 Web Support, 5 back-end support, 4 Ops monitors, 3 System Admins and 2 Dr / Back-up tape admin)</t>
  </si>
  <si>
    <t>Serv ice Configuration and Activation</t>
  </si>
  <si>
    <t xml:space="preserve">- Provide the interfaces for users to enter USNs associated with services to be cancelled
- Storing a confirmation from the User to cancel the service switch
- Provide a web-interface into the Hub as well as providing an email-interface to respond to notifications from the Hub
- Provide the required storage, CPU, memory, DR, backup, restore, archiving costs, etc. </t>
  </si>
  <si>
    <t>Support costs - 6 people (24x7) on a 33% basis, covering-off system admin, DBA and application support responsibilities</t>
  </si>
  <si>
    <t>Input assumptions for Central Costs - TPV</t>
  </si>
  <si>
    <t>Ongoing operating costs based on 20 people (24x7) supporting the Hub operationally</t>
  </si>
  <si>
    <t xml:space="preserve">- Front-end portal access to Retail CPs and AOs 
- Near real-time interface / batch-interface for messages (requests, notifications and responses) between CPs and TxCIA
- Database storage for TxC and customer/service related data
- TxC generation logic, TxC cancelling logic
- Enough storage / CPU / memory to support the initial system requirements 
- DR, back-up, restore, archiving costs, etc.
- Infrastructure covers Dev, Test, Pre-Prod, Prod environments </t>
  </si>
  <si>
    <t>Input assumptions for Processes - USN</t>
  </si>
  <si>
    <t>CRM and Knowledge Management</t>
  </si>
  <si>
    <t>No bespoke COTS CRM assumed, simple spreadsheet based solution. Minimal updates to documentation. Assuemed that Low scenario uses full TPI stack (BSS and OSS), and that TPI related costs would be covered under existing TPI agreements</t>
  </si>
  <si>
    <t>CSA documentation, training manuals, help pages,  service catalogues. Assumed that Medium scenario may only use TPI's OSS stack, and use internal BSS / customer apps stack</t>
  </si>
  <si>
    <t>CSA documentation, training manuals, help pages,  service catalogues. Assumed that High scenario may use no / minimum TPI OSS stack, and use internal BSS / customer apps stack</t>
  </si>
  <si>
    <t>- Training for CSA's to key in USN, interpret responses from hub
- Training for CSA's in addressing specific customer queries regarding failed migration or USN status
- Documentation of processes in place to ensure that all of CP’s customer information management systems are updated with the latest USN status, following notification from Hub / CCS
- Processes in place to ensure that CCS details are available in the LCP’s ETC notification</t>
  </si>
  <si>
    <t>mins</t>
  </si>
  <si>
    <t>Input assumptions for Systems - USN</t>
  </si>
  <si>
    <t>- Addition of USN data to CRM database
- Displaying USN information on customer screens
- Ability to query for USN information
- Ability to query customer / service data based on USN
- Ability to pass USN information to Order Entry systems
- Updating USN data / status based on confirmation / responses / notifications from the downstream systems</t>
  </si>
  <si>
    <t>- Medium scenario assuming COTS / bespoke CRM in use to manage customer / service data
- Overall program delivery costs to design, dev, test and implement the addition of USN data into CRM
- Developing interfaces to Hub to query the USN data
- Functionality to update USN data / status and other impacted interfaces</t>
  </si>
  <si>
    <t>- Medium / large scenario assuming COTS / bespoke CRM in use to manage customer / service data
- Overall program delivery costs to design, dev, test and implement the addition of USN data into CRM 
- Developing interfaces to Hub to query the USN data
- Functionality to update USN data / status and other impacted interfaces</t>
  </si>
  <si>
    <t>No additional hardware / infrastructure requirements</t>
  </si>
  <si>
    <t>Additional hardware / infrastructure to bolt-on to existing CRM functionality</t>
  </si>
  <si>
    <t>Display USN information with other customer / service data. Includes design and layout changes to bill</t>
  </si>
  <si>
    <t>- All aspects of CP order entry, to reflect the appropriate use of USN data for customer orders
- The customer order management systems should also store query-able information on the progress of a service switch request, thereby allowing the GCP to send out confirmation letters to customers; and enabling LCPs to calculate the ETCs.</t>
  </si>
  <si>
    <t>Additional hardware / infrastructure required to support the volumes</t>
  </si>
  <si>
    <t xml:space="preserve">- The scope of this impact extends to all aspects of service order validation, issuance, tracking, orchestration, decomposition where USN information will be included. 
- All of CP’s Service Order Management systems to be kept in sync with the latest USN status for all customers’ active services. </t>
  </si>
  <si>
    <t>Overall Programme Management costs for the Design / Dev / Test / Implementation of associated Back-end database changes to be managed by TPI
- Cost for TxCs functionality required for back-end CP-CP switching to be included in TPI costs</t>
  </si>
  <si>
    <t>No additional hardware required to support the changes</t>
  </si>
  <si>
    <t>- Functional enhancements to the Partners’ applications to provide the ability to request TxCs, and enter USNs to Hub
- Initiate ‘Cancel Own’ processes against the services tagged with the TxCs
- Also, notification to resellers if Customer Cancel is activated
- Ability for reseller to query status of USN for service in switch</t>
  </si>
  <si>
    <t xml:space="preserve"> - Assumed simple partner management interfaces in place to support CP's existing business requirements
- Costs for additional changes required to design, develop, test and implement functionality to look up TxCs and initiate service requests as required, assumed to be provided by TPI. </t>
  </si>
  <si>
    <t>- More complex external partner / reseller management interfaces assumed. 
- Increased design/dev/test/implement effort to lookup TxCs and initiate service requests as required. Assumed this is partially provided by TPI</t>
  </si>
  <si>
    <t>- More complex external partner / reseller management interfaces assumed. 
- Increased design/dev/test/implement effort to lookup TxCs and initiate service requests as required</t>
  </si>
  <si>
    <t>Functional enhancements to the customer problem management systems to allow the handling of customer and service issues related to new front-end processes, the USN, or to the TxC-related aspects of the back-end - tells the customer whether the switch has gone through or not. Reason-code for failure not included, back-end activation process stays similar to as-is today</t>
  </si>
  <si>
    <t xml:space="preserve"> - Design, dev, test and implementation costs to enhance the functionality on customer problem management systems to address customer queries regarding service switch failures, USNs, TxCs, etc.  Assumed majority of functionality provided by TPI</t>
  </si>
  <si>
    <t>Functional enhancements to the service problem management systems to allow the handling of customer and service issues related to the TxC-related aspects of the back-end switching.</t>
  </si>
  <si>
    <t>-  Design, dev, test and implementation costs to enhance the functionality on service problem management systems to address issues regarding service switch failures, USNs, TxCs, etc. 
- Assumed fewer back-end impacts due to functionality being fully provided by TPI.</t>
  </si>
  <si>
    <t>-  Design, dev, test and implementation costs to enhance the functionality on service problem management systems to address issues regarding service switch failures, USNs, TxCs, etc. 
- Assumed fewer back-end impacts than changes (possible use of TPI interfaces) required on the Customer problem management systems.
- Costs assumed higher, given the volumes of activations / responses / cancellations involved</t>
  </si>
  <si>
    <t>-  Design, dev, test and implementation costs to enhance the functionality on service problem management systems to address issues regarding service switch failures, USNs, TxCs, etc. 
- Assumed fewer back-end impacts than changes required on the Customer problem management systems.
- Costs assumed higher, given the volumes of activations / responses / cancellations involved</t>
  </si>
  <si>
    <t>Input assumptions for Processes - TPV</t>
  </si>
  <si>
    <t>- Training for CSA's to key in a/c ref, interpret responses from hub
- Training for CSA's in addressing specific customer queries regarding failed migration or a/c ref status
- Documentation of relevant processes
- More in-depth training to CSAs around TPV related queries and call-handling / transfer mechanisms</t>
  </si>
  <si>
    <t xml:space="preserve"> - This includes all processes to allow the issue of new switch orders and providing status updates on existing switches in process as well as switches that have been successfully executed</t>
  </si>
  <si>
    <t>Input assumptions for Systems - TPV</t>
  </si>
  <si>
    <t>- Addition of technology-type data to CRM database
- Displaying this information on customer screens 
- Ability to query this information
- Ability to query customer / service data
- Ability to pass this data to Order Entry systems
- Updating account ref data / status based on confirmation / responses / notifications from the downstream systems</t>
  </si>
  <si>
    <t>- All aspects of CP order entry, to reflect the appropriate use of customer data for customer orders
- The customer order management systems should also store query-able information on the progress of a service switch request, thereby allowing the GCP to send out confirmation letters to customers; and enabling LCPs to calculate the ETCs.</t>
  </si>
  <si>
    <t xml:space="preserve">- The scope of this impact extends to all aspects of service order validation, issuance, tracking, orchestration, decomposition. 
- All of CP’s Service Order Management systems to be kept in sync with the latest status for all customers’ active services. </t>
  </si>
  <si>
    <t>- Functional enhancements to the Partners’ applications to provide the ability to request TxCs
- Initiate ‘Cancel Own’ processes against the services tagged with the TxCs
- Also, notification to resellers if Customer Cancel is activated
- Ability for reseller to query status of service in switch</t>
  </si>
  <si>
    <t>Functional enhancements to the customer problem management systems to allow the handling of customer and service issues related to new front-end processes, TxC-related aspects of the back-end - tells the customer whether the switch has gone through or not. Reason-code for failure not included, back-end activation process stays similar to as-is today</t>
  </si>
  <si>
    <t>Input assumptions for Processes - LPL</t>
  </si>
  <si>
    <t>Input assumptions for Systems - LPL</t>
  </si>
  <si>
    <t>Day-rate</t>
  </si>
  <si>
    <t>£ / day</t>
  </si>
  <si>
    <t xml:space="preserve">Opex : Capex </t>
  </si>
  <si>
    <t>% of switches cancelled through Customer Cancel</t>
  </si>
  <si>
    <t>Cost per CSA per minute</t>
  </si>
  <si>
    <t>Average GP call (NoT) - 1 call</t>
  </si>
  <si>
    <t>minutes</t>
  </si>
  <si>
    <t>Average GP/LP call (Cease&amp;Provide) - 2 to 3 calls</t>
  </si>
  <si>
    <t>Average GP/LP call (MAC) - 2 to 3 calls</t>
  </si>
  <si>
    <t>NoT switch %</t>
  </si>
  <si>
    <t>Average call time blend</t>
  </si>
  <si>
    <t>Input Parameter (for users to change at will)</t>
  </si>
  <si>
    <t>Input Data (only replace if you have better data)</t>
  </si>
  <si>
    <t>Input Estimate (only change if you have better data)</t>
  </si>
  <si>
    <t>Input linked from another sheet</t>
  </si>
  <si>
    <t>Key Output</t>
  </si>
  <si>
    <t>Model</t>
  </si>
  <si>
    <t>System</t>
  </si>
  <si>
    <t>Additional hardware / infrastructure required</t>
  </si>
  <si>
    <t>Ongoing support costs</t>
  </si>
  <si>
    <t>No additional hardware / infrastructure required</t>
  </si>
  <si>
    <t>Mid</t>
  </si>
  <si>
    <t>Cost per switch charged by TPV</t>
  </si>
  <si>
    <t>Cost per customer cancel charged by TPV</t>
  </si>
  <si>
    <t>Hub / TxCIA System Costs</t>
  </si>
  <si>
    <t>Hub / TxCIA  Process Costs</t>
  </si>
  <si>
    <t>Total programme man-days to deliver the Hub / TxCIA system (including Requirements Aanalysis, Design, Development, Testing, Implementation, Governance, Post-Launch Support)</t>
  </si>
  <si>
    <t xml:space="preserve">Infrastructure requirements to cover 5 environments - Dev, Test, Pre-Prod, Prod &amp; DR. Costs also cover the database licenses, backup drives for archiving, etc. </t>
  </si>
  <si>
    <t>Total programme man-days to deliver the CCS system (including Requirements Aanalysis, Design, Development, Testing, Implementation, Governance, Post-Launch Support)</t>
  </si>
  <si>
    <t>INPUT TYPE</t>
  </si>
  <si>
    <t>Similar to USN, however, lower requirements than USN for changes to CRM - no requirement to include USN in CRM</t>
  </si>
  <si>
    <t>- Lower for LPL model as no requirement to communicate with Hub, or state model as in GPL</t>
  </si>
  <si>
    <t>- Training to provide general overview of USN and impacts to CRM database
- Updates to CSA documentation, training manuals, online wikis, help documents, FAQs, service catalogues, etc.</t>
  </si>
  <si>
    <t>Summary of changes</t>
  </si>
  <si>
    <t xml:space="preserve"> - This includes all processes to allow a CSA to converse with the customer, capture and enter customer details and execute front-end customer processes.
- This also includes the CSA call-handling time for USN related queries</t>
  </si>
  <si>
    <t>- Training to provide general overview of TPV and impacts to CRM database
- Updates to CSA documentation, training manuals, online wikis, help documents, FAQs, service catalogues, etc.</t>
  </si>
  <si>
    <t>Summary of Changes</t>
  </si>
  <si>
    <t>- Cost to support Hub, e.g. initial training, documentation, as well as ongoing operating costs of responding to support calls</t>
  </si>
  <si>
    <t xml:space="preserve">- Front-end portal access to CPs 
- Near real-time interface / batch-interface for messages (requests, notifications and responses) between CP-Hub, database storage for USN and customer/service related data
- USN generation logic, USN cancelling logic 
enough storage / CPU / memory to support the initial load on the system (this will include USN generation for all services for all customers across CPs), 
- DR, back-up, restore, archiving costs, etc.
- Infrastructure covers Dev, Test, Pre-Prod, Prod environments </t>
  </si>
  <si>
    <t>- Cost to document IVR processes for CCS service and deal with support</t>
  </si>
  <si>
    <t>Initial documentation, development of training, processes etc for Hub/TxCIA</t>
  </si>
  <si>
    <t># of staff in Hub / TxCIA</t>
  </si>
  <si>
    <t>% utilisation of Hub  / TxCIA staff (ongoing)</t>
  </si>
  <si>
    <t>Total programme man-days to deliver the CCS system</t>
  </si>
  <si>
    <t># of staff in CCS</t>
  </si>
  <si>
    <t>Infratructure costs</t>
  </si>
  <si>
    <t>Total programme man-days to deliver the Hub / TxCIA system</t>
  </si>
  <si>
    <t>Initial documentation, development of training, processes etc for CCS</t>
  </si>
  <si>
    <t>3 people covering-off system admin, DBA and application support responsibilities</t>
  </si>
  <si>
    <t>Training per CSA per day</t>
  </si>
  <si>
    <t>General</t>
  </si>
  <si>
    <t>Comments</t>
  </si>
  <si>
    <t>Number of CPs in Segment</t>
  </si>
  <si>
    <t>Source</t>
  </si>
  <si>
    <t>CP CAPEX</t>
  </si>
  <si>
    <t>CP OPEX</t>
  </si>
  <si>
    <t>Central CAPEX</t>
  </si>
  <si>
    <t>Central OPEX</t>
  </si>
  <si>
    <t>Cost Range Matrix</t>
  </si>
  <si>
    <t>Average CAPEX per CP segment</t>
  </si>
  <si>
    <t>Average OPEX per CP segment</t>
  </si>
  <si>
    <t>Total CP CAPEX</t>
  </si>
  <si>
    <t>Assumptions</t>
  </si>
  <si>
    <t>Total Cost per Segment</t>
  </si>
  <si>
    <t>Total CP OPEX</t>
  </si>
  <si>
    <t># of Inbound Switches (per year)</t>
  </si>
  <si>
    <t>Central Costs CAPEX</t>
  </si>
  <si>
    <t>Central Costs OPEX</t>
  </si>
  <si>
    <t>Total CAPEX</t>
  </si>
  <si>
    <t>Total OPEX</t>
  </si>
  <si>
    <t>Total number of switches</t>
  </si>
  <si>
    <t>Fixed line</t>
  </si>
  <si>
    <t>Broadband</t>
  </si>
  <si>
    <t>Ofcom Switching Consultation data</t>
  </si>
  <si>
    <t>Total number of services</t>
  </si>
  <si>
    <t>% switches</t>
  </si>
  <si>
    <t>Small organisation - low number of CSAs</t>
  </si>
  <si>
    <t>Mid-size organisation</t>
  </si>
  <si>
    <t>Large organisation</t>
  </si>
  <si>
    <t>Limited training required - update on changes to CRM, addition of USN in process</t>
  </si>
  <si>
    <t>Maintenance of documentation</t>
  </si>
  <si>
    <t>Training required to ensure CSAs know how to enter USN, also training for CSAs to address queries regarding USN status</t>
  </si>
  <si>
    <t xml:space="preserve">See CRM and Knowledge Management </t>
  </si>
  <si>
    <t>Same as Low</t>
  </si>
  <si>
    <t>N/A</t>
  </si>
  <si>
    <t>Maintenance of system changes</t>
  </si>
  <si>
    <t>- Assumed that the CP has an automated internal bill printing / formatting function, OR
- an automated external bill printing / rendering interface in place
- Changes to the design / presentation of information on the bill
- Changes to the bill, to include USN information
- Changes to the bill formatting interface , to include USN information to be sent to the bill printing system
- One-off Changes to the bill, to advise customers on the use of USN and further information on Switching / Cancelling a Switch</t>
  </si>
  <si>
    <t>Same as Medium - however, TPI provides billing implementation</t>
  </si>
  <si>
    <t>TPI provides complete turnkey billing solution</t>
  </si>
  <si>
    <t>Initial documentation, development of training, processes etc</t>
  </si>
  <si>
    <t>Ongoing operating costs supporting the Hub operationally - assumes staff only required 50% of time</t>
  </si>
  <si>
    <t>No changes to bill required</t>
  </si>
  <si>
    <t>Same as USN</t>
  </si>
  <si>
    <t>Assumes same time as USN for first part of call (13 minutes), handover of call to TPV (6 minutes including wait time of 3 minutes), and 3 minutes wrap up by GP after hand back</t>
  </si>
  <si>
    <t>Small customer base, no elaborate CRM, simple spreadsheet / Access based customer database assumed - TPI provides majority of changes</t>
  </si>
  <si>
    <t>N/A - TPV does Customer Cancel</t>
  </si>
  <si>
    <t>No changes to CRM</t>
  </si>
  <si>
    <t>- Overall program costs for Design / Dev / Test / Implementation changes for various Order Management interfaces, including the setting up of CP on TxCIA. Assumed this is fully provided by TPI
- Database changes to create, track and close customer orders</t>
  </si>
  <si>
    <t xml:space="preserve">- Less costs than USN/TPV as no requirement to send data to hub for setup
- System dev changes to all impacted interfaces, including setting up of new CP on the TxCIA 
- Database changes to allow GCP to query service requests
</t>
  </si>
  <si>
    <t xml:space="preserve">- Less costs than USN/TPV as no requirement to send data to hub for setup
- System dev changes to all impacted interfaces, including setting up of new CP on the TxCIA, assumed mainly provided by TPI
- Database changes to allow GCP to query service requests
</t>
  </si>
  <si>
    <t>Storage for call recording provided by TPIs</t>
  </si>
  <si>
    <t>Additional hardware for Customer Order Management impacts and storage for recording calls for TxCs - medium volume</t>
  </si>
  <si>
    <t>Additional hardware for Customer Order Management impacts and storage for recording calls for TxCs - high volume</t>
  </si>
  <si>
    <t>Support costs for system changes</t>
  </si>
  <si>
    <t>- Similar to Low</t>
  </si>
  <si>
    <t>Less cost as there is no state model / interface with hub / Customer Cancel</t>
  </si>
  <si>
    <t>TPI handles back-end</t>
  </si>
  <si>
    <t>Less staff than USN / TPV required. # of staff in Hub - 15 people (24x7) on a 33% basis (including 3 DBAs, 3 Web Support, 3 back-end support, 2 Ops monitors, 2 System Admins and 2 DR / Back-up tape admin)</t>
  </si>
  <si>
    <t>Significantly simpler than USN / TPV - LPL based on Ticker tape model. Total programme man days to deliver the TxCIA system (including Requirements Aanalysis, Design, Development, Testing, Implementation, Governance, Post-Launch Support)</t>
  </si>
  <si>
    <t xml:space="preserve">Hardware costs are lower than USN / TPV - ticker tape rather than real-time Hub. Infrastructure covers 5 environments - Dev, Test, Prod &amp; DR. Costs also cover licenses, backup drives for archiving, etc. </t>
  </si>
  <si>
    <t>- Cost to support TxCIA, e.g. initial training, documentation, as well as ongoing operating costs of responding to support calls</t>
  </si>
  <si>
    <t>No Customer Cancel function in LPL</t>
  </si>
  <si>
    <t>% Online sales</t>
  </si>
  <si>
    <t>Summary of Outputs for CP and Central Costs</t>
  </si>
  <si>
    <t>Summary of Outputs for total industry costs</t>
  </si>
  <si>
    <t>Fixed line (assumes switch line and call packages)</t>
  </si>
  <si>
    <t>CPS</t>
  </si>
  <si>
    <t>Other</t>
  </si>
  <si>
    <t>Tier A</t>
  </si>
  <si>
    <t>Tier B</t>
  </si>
  <si>
    <t>Tier C</t>
  </si>
  <si>
    <t>Tier A assumptions</t>
  </si>
  <si>
    <t>Tier B Assumptions</t>
  </si>
  <si>
    <t>Tier C Assumptions</t>
  </si>
  <si>
    <t>CP Classifications</t>
  </si>
  <si>
    <t>Tier A - Small, simple CP, use TPI for all IT functions</t>
  </si>
  <si>
    <t>Tier B - Medium sized, simple CP, use TPI for some back-end functions</t>
  </si>
  <si>
    <t>Select CP Tier:</t>
  </si>
  <si>
    <t>Summary</t>
  </si>
  <si>
    <t>CPS only</t>
  </si>
  <si>
    <t>OTA</t>
  </si>
  <si>
    <t>CSMG assumption</t>
  </si>
  <si>
    <t>Ofcom</t>
  </si>
  <si>
    <t xml:space="preserve">General </t>
  </si>
  <si>
    <t>Sensitivities</t>
  </si>
  <si>
    <t>Selected</t>
  </si>
  <si>
    <t>Select Cost Scenario:</t>
  </si>
  <si>
    <t>Sensitivities Classifications</t>
  </si>
  <si>
    <t xml:space="preserve">Sensitivities </t>
  </si>
  <si>
    <t># of CSAs to be trained in CRM changes</t>
  </si>
  <si>
    <t># of CSAs to be trained in CIM changes</t>
  </si>
  <si>
    <t>Current</t>
  </si>
  <si>
    <t>Selector</t>
  </si>
  <si>
    <t>Total Costs</t>
  </si>
  <si>
    <t>Total CP Costs</t>
  </si>
  <si>
    <t>Assumptions on Industry Size</t>
  </si>
  <si>
    <t>Overall Programme Management costs for the Design / Dev / Test / Implementation of associated Back-end database changes 
- Cost for the adoption of TxCs functionality for back-end CP-CP switching assumed to be partially provided by TPI
- Costs are higher to allow for more service orders to be processed, more responses to be passed back to the Hub in  near real-time</t>
  </si>
  <si>
    <t>- Given the increased complexity of the systems and interfaces for a medium / large CP, and the significantly larger volumes of customer base / service request changes - the impacts are much larger
- Design/dev/test/implement cost, assumed partially provided by TPI</t>
  </si>
  <si>
    <t xml:space="preserve"> - Medium / large CP, complex automated interfaces via Retail, Telesales, Online, Dealers and Resellers
- System dev changes to all impacted interfaces, including setting up of new CP on the Hub 
- Database changes to allow GCP to query service requests and USN </t>
  </si>
  <si>
    <t xml:space="preserve"> - Medium / large CP, complex automated interfaces via Retail, Telesales, Online, Dealers and Resellers
- System dev changes to all impacted interfaces, including setting up of new CP on the Hub 
- Database changes to allow GCP to query service requests and USN 
</t>
  </si>
  <si>
    <t>Overall Programme Management costs for the Design / Dev / Test / Implementation of associated Back-end database changes 
- Cost also includes the adoption of TxCs functionality for back-end CP-CP switching 
- Costs are higher to allow for more service orders to be processed, more responses to be passed back to the Hub in  near real-time</t>
  </si>
  <si>
    <t>- Given the increased complexity of the systems and interfaces for a medium / large CP, and the significantly larger volumes of customer base / service request changes - the impacts are much larger
- Design/dev/test/implement cost</t>
  </si>
  <si>
    <t>- Manual customer order management system with some automated systems in place
- Overall program costs for Design / dev / test / Implementation changes for various order management interfaces, including the setting up of CP on the Hub, to be managed by TPI
- Database changes to create, track and close customer orders
- assumed Small CP provisioning orders through TPI interface</t>
  </si>
  <si>
    <t>unit</t>
  </si>
  <si>
    <t>Channel Sales Management</t>
  </si>
  <si>
    <t>Customer information management</t>
  </si>
  <si>
    <t>Transactional document production</t>
  </si>
  <si>
    <t>Customer order management</t>
  </si>
  <si>
    <t>Customer self management</t>
  </si>
  <si>
    <t>Customer contact management, retention and loyalty</t>
  </si>
  <si>
    <t>CSR toolbox</t>
  </si>
  <si>
    <t>Service Inventory Management</t>
  </si>
  <si>
    <t>Service Order Management</t>
  </si>
  <si>
    <t>Partner Management</t>
  </si>
  <si>
    <t>Systems OPEX</t>
  </si>
  <si>
    <t>Systems CAPEX</t>
  </si>
  <si>
    <t>Strategy &amp; Commit</t>
  </si>
  <si>
    <t>Infrastructure Lifecycle Management</t>
  </si>
  <si>
    <t>Product Lifecycle Management</t>
  </si>
  <si>
    <t>Operations Support and Readiness</t>
  </si>
  <si>
    <t>Fulfilment</t>
  </si>
  <si>
    <t>Assurance</t>
  </si>
  <si>
    <t>Billing and Revenue Management</t>
  </si>
  <si>
    <t>Strategic and Enterprise Planning</t>
  </si>
  <si>
    <t>Enterprise Risk Management</t>
  </si>
  <si>
    <t>Enterprise Effectiveness Management</t>
  </si>
  <si>
    <t>Knowledge &amp; Research Management</t>
  </si>
  <si>
    <t>Stakeholder &amp; External Relations Management</t>
  </si>
  <si>
    <t>Human Resources Management</t>
  </si>
  <si>
    <t>Process OPEX</t>
  </si>
  <si>
    <t>Process CAPEX</t>
  </si>
  <si>
    <t>CHECK</t>
  </si>
  <si>
    <t>Size of customer base</t>
  </si>
  <si>
    <t>Inbound switches as % of customer base</t>
  </si>
  <si>
    <t>Total time taken to implement changes</t>
  </si>
  <si>
    <t/>
  </si>
  <si>
    <t>Operator Size</t>
  </si>
  <si>
    <t># of gaining switches / month</t>
  </si>
  <si>
    <t>%  which are consumer and SME &lt;10 employees</t>
  </si>
  <si>
    <t># of new provides / month</t>
  </si>
  <si>
    <t># of losing switches / month</t>
  </si>
  <si>
    <t># of ceases / month</t>
  </si>
  <si>
    <t>Channel Mix</t>
  </si>
  <si>
    <t>% of gaining switches through telesales</t>
  </si>
  <si>
    <t>% of gaining switches through online</t>
  </si>
  <si>
    <t>% of gaining switches through door to door</t>
  </si>
  <si>
    <t>% of gaining switches through retail shop</t>
  </si>
  <si>
    <t>Totals</t>
  </si>
  <si>
    <t>USN Tech CAPEX</t>
  </si>
  <si>
    <t>USN Tech OPEX</t>
  </si>
  <si>
    <t>USN Process CAPEX</t>
  </si>
  <si>
    <t>USN Process OPEX</t>
  </si>
  <si>
    <t>Transactional Document Production</t>
  </si>
  <si>
    <t>Customer Self Management</t>
  </si>
  <si>
    <t>TPV Tech CAPEX</t>
  </si>
  <si>
    <t>TPV Tech OPEX</t>
  </si>
  <si>
    <t>TPV Process CAPEX</t>
  </si>
  <si>
    <t>TPV Process OPEX</t>
  </si>
  <si>
    <t>Enhancements to Customer Self Management (ETC letters / Confirmation letters)</t>
  </si>
  <si>
    <t>LPL Tech CAPEX</t>
  </si>
  <si>
    <t>LPL Tech OPEX</t>
  </si>
  <si>
    <t>LPL Process CAPEX</t>
  </si>
  <si>
    <t>LPL Process OPEX</t>
  </si>
  <si>
    <t>Wholesale Provider</t>
  </si>
  <si>
    <t>Access Provider</t>
  </si>
  <si>
    <t>A1</t>
  </si>
  <si>
    <t>CAPEX per Sub</t>
  </si>
  <si>
    <t>OPEX per Sub</t>
  </si>
  <si>
    <t># Subscribers served by Tier A CPs</t>
  </si>
  <si>
    <t># Subscribers served by Tier B CPs</t>
  </si>
  <si>
    <t># Subscribers served by Tier C CPs</t>
  </si>
  <si>
    <t>B5</t>
  </si>
  <si>
    <t>B6</t>
  </si>
  <si>
    <t>B7</t>
  </si>
  <si>
    <t>B8</t>
  </si>
  <si>
    <t>B9</t>
  </si>
  <si>
    <t>CAPEX  for Tier A</t>
  </si>
  <si>
    <t>CAPEX  for Tier B</t>
  </si>
  <si>
    <t>CAPEX  for Tier C</t>
  </si>
  <si>
    <t>OPEX for Tier A</t>
  </si>
  <si>
    <t>OPEX for Tier B</t>
  </si>
  <si>
    <t>OPEX for Tier C</t>
  </si>
  <si>
    <t>TPV costs for industry</t>
  </si>
  <si>
    <t xml:space="preserve">Total OPEX </t>
  </si>
  <si>
    <t xml:space="preserve">Total number of switches per year </t>
  </si>
  <si>
    <t>Total number of customer cancels</t>
  </si>
  <si>
    <t xml:space="preserve">Total CAPEX </t>
  </si>
  <si>
    <t>Breakdowns</t>
  </si>
  <si>
    <t xml:space="preserve">USN </t>
  </si>
  <si>
    <t>Front-end</t>
  </si>
  <si>
    <t>Asset Validation</t>
  </si>
  <si>
    <t>Back-end processes</t>
  </si>
  <si>
    <t>Post-sales communications (e.g. letters / ETCs)</t>
  </si>
  <si>
    <t>Retail Average</t>
  </si>
  <si>
    <t>Post-sales communications</t>
  </si>
  <si>
    <t>Retail CP Average CAPEX</t>
  </si>
  <si>
    <t>Retail CP Average OPEX</t>
  </si>
  <si>
    <t>USN CAPEX</t>
  </si>
  <si>
    <t>TPV CAPEX</t>
  </si>
  <si>
    <t>TPV OPEX</t>
  </si>
  <si>
    <t>LPL CAPEX</t>
  </si>
  <si>
    <t>LPL OPEX</t>
  </si>
  <si>
    <t>Discounted Value</t>
  </si>
  <si>
    <t>Discount Factor</t>
  </si>
  <si>
    <t>Independent Model</t>
  </si>
  <si>
    <t>Year</t>
  </si>
  <si>
    <t>Independent 5 Year</t>
  </si>
  <si>
    <t>TPI</t>
  </si>
  <si>
    <t>Process Capex per Sub</t>
  </si>
  <si>
    <t>Process OPEX per Sub</t>
  </si>
  <si>
    <t>Tech Capex per Sub</t>
  </si>
  <si>
    <t>Tech OPEX per Sub</t>
  </si>
  <si>
    <t># Subscribers served by TPIs (5 TPIs)</t>
  </si>
  <si>
    <t>CAPEX for TPIs</t>
  </si>
  <si>
    <t>OPEX for TPIs</t>
  </si>
  <si>
    <t>Independent 10 Year</t>
  </si>
  <si>
    <t>CSMG Tier A</t>
  </si>
  <si>
    <t>CSMG Tier B</t>
  </si>
  <si>
    <t>CSMG Tier C</t>
  </si>
  <si>
    <t>Telesales</t>
  </si>
  <si>
    <t>Retail sales</t>
  </si>
  <si>
    <t>Door to Door sales</t>
  </si>
  <si>
    <t>Genera;</t>
  </si>
  <si>
    <t>NPC per Sub</t>
  </si>
  <si>
    <t># of Training days for CRM and Knowledge Mgt</t>
  </si>
  <si>
    <t># of Process documentation days for CRM and Knowledge Mgt changes</t>
  </si>
  <si>
    <t>Changes to CRM  documentation on ongoing basis</t>
  </si>
  <si>
    <t># of Training days for CIM changes</t>
  </si>
  <si>
    <t># of Process documentation days for CIM changes</t>
  </si>
  <si>
    <t>Changes to CIM documentation on ongoing basis</t>
  </si>
  <si>
    <t>CSA time for handling switching related calls (Gaining + Losing)</t>
  </si>
  <si>
    <t># of days for delivery of CRM system changes</t>
  </si>
  <si>
    <t>CRM system changes - Additional hardware/infrastructure</t>
  </si>
  <si>
    <t xml:space="preserve">CRM System Changes - Ongoing Opex costs to maintain / operate </t>
  </si>
  <si>
    <t>System Changes to bill</t>
  </si>
  <si>
    <t>COM System and development changes</t>
  </si>
  <si>
    <t>SOM system changes - Ongoing support costs</t>
  </si>
  <si>
    <t>SOM System Changes - Additional hardware / infrastructure required</t>
  </si>
  <si>
    <t>SOM System Changes - Overall Programme Management costs for Back-end changes (adoption of TxC)</t>
  </si>
  <si>
    <t>COM System Changes - Ongoing support costs</t>
  </si>
  <si>
    <t>COM System Changes - Additional hardware / infrastructure required</t>
  </si>
  <si>
    <t>Partner Management Changes - Functional enhancements to the interfaces with Partners</t>
  </si>
  <si>
    <t>Partner - Management Changes additional hardware / infrastructure required</t>
  </si>
  <si>
    <t>Customer Prob. Mgt -  Functional enhancements to the customer problem management systems</t>
  </si>
  <si>
    <t>Customer Prob. Mgt.  - additional hardware / infrastructure required</t>
  </si>
  <si>
    <t>Customer Prob. Mgt. - Ongoing support costs</t>
  </si>
  <si>
    <t>Service Prob Mgt. - Functional enhancements to the service problem management systems</t>
  </si>
  <si>
    <t>Service Prob Mgt. - No additional hardware / infrastructure required</t>
  </si>
  <si>
    <t>Service Prob. Mgt. - Ongoing support costs</t>
  </si>
  <si>
    <t>Transactional Document Production - Enhancements to Transactional Document Production (ETC letters / Confirmation letters)</t>
  </si>
  <si>
    <t>Transactional Document Production - Additional hardware / infrastructure required</t>
  </si>
  <si>
    <t>Transactional Document Production - Ongoing support costs</t>
  </si>
  <si>
    <t>Size of Customer Base</t>
  </si>
  <si>
    <t>CCS system Infratructure costs</t>
  </si>
  <si>
    <t>CCS system ongoing operating costs based on 20 people (24x7) supporting the Hub operationally</t>
  </si>
  <si>
    <t>Industry</t>
  </si>
  <si>
    <t>Independent</t>
  </si>
  <si>
    <t>Average</t>
  </si>
  <si>
    <t>Gaining Switch as % of Base</t>
  </si>
  <si>
    <t>Units</t>
  </si>
  <si>
    <t>months</t>
  </si>
  <si>
    <t>Ret Avg</t>
  </si>
  <si>
    <t>USN Totals</t>
  </si>
  <si>
    <t>Subscribers</t>
  </si>
  <si>
    <t>CP RESPONSE SUMMARY</t>
  </si>
  <si>
    <t>Calculation for Tier A</t>
  </si>
  <si>
    <t>Calculation for TPI</t>
  </si>
  <si>
    <t>KEY INPUTS FOR INDUSTRY MODEL</t>
  </si>
  <si>
    <t>B10</t>
  </si>
  <si>
    <t>A</t>
  </si>
  <si>
    <t>B</t>
  </si>
  <si>
    <t>C</t>
  </si>
  <si>
    <t># of Tier A CPs</t>
  </si>
  <si>
    <t>CAPEX Calculation</t>
  </si>
  <si>
    <t>OPEX Calculation</t>
  </si>
  <si>
    <t>Independent Cost Model - Total Costs</t>
  </si>
  <si>
    <t>5 YEAR NPV</t>
  </si>
  <si>
    <t>10 YEAR NPV</t>
  </si>
  <si>
    <t>5 Year NPV</t>
  </si>
  <si>
    <t>10 Year NPV</t>
  </si>
  <si>
    <t>Delta between Models</t>
  </si>
  <si>
    <t>Delta</t>
  </si>
  <si>
    <t>OUTPUTS</t>
  </si>
  <si>
    <t>Market Statistics</t>
  </si>
  <si>
    <t>Subscribers per Tier</t>
  </si>
  <si>
    <t>Customers per CP</t>
  </si>
  <si>
    <t xml:space="preserve">Systems costs for Tier B </t>
  </si>
  <si>
    <t>Individual CP Costs</t>
  </si>
  <si>
    <t>Tier C - Large CP which operates own systems</t>
  </si>
  <si>
    <t>High -  high cost case (high central and CP assumptions)</t>
  </si>
  <si>
    <t>Mid -  medium cost case (mid central and CP assumptions)</t>
  </si>
  <si>
    <t>Low - low cost case (low central and CP assumptions)</t>
  </si>
  <si>
    <t>Order Handling Changes Delta</t>
  </si>
  <si>
    <t>Gaining call handling time</t>
  </si>
  <si>
    <t>Losing call handling time</t>
  </si>
  <si>
    <t>WP Average</t>
  </si>
  <si>
    <t>CSMG estimate</t>
  </si>
  <si>
    <t>CP1</t>
  </si>
  <si>
    <t>CP2</t>
  </si>
  <si>
    <t>CP3</t>
  </si>
  <si>
    <t>CP4</t>
  </si>
  <si>
    <t>CP5</t>
  </si>
  <si>
    <t>Broadband only</t>
  </si>
  <si>
    <t>Adjusted Industry Model</t>
  </si>
  <si>
    <t>5 Year NPC</t>
  </si>
  <si>
    <t>10 Year NPC</t>
  </si>
  <si>
    <t>Industry - 5 Year NPC</t>
  </si>
  <si>
    <t>Independent - 5 Year NPC</t>
  </si>
  <si>
    <t>Industry - 10 Year NPC</t>
  </si>
  <si>
    <t>Independent - 10 Year NPC</t>
  </si>
  <si>
    <t xml:space="preserve">Cost as portion of revenue - Industry </t>
  </si>
  <si>
    <t>Cost as portion of revenue - Independent</t>
  </si>
  <si>
    <t>Avg</t>
  </si>
  <si>
    <t>Setup Costs</t>
  </si>
  <si>
    <t>Ongoing Costs</t>
  </si>
  <si>
    <t>Tier A - Setup</t>
  </si>
  <si>
    <t>Tier B - Setup</t>
  </si>
  <si>
    <t>Tier C - Setup</t>
  </si>
  <si>
    <t>Tier A - Ongoing</t>
  </si>
  <si>
    <t>Tier B - Ongoing</t>
  </si>
  <si>
    <t>Tier C - Ongoing</t>
  </si>
  <si>
    <t>Market Sizing Workings</t>
  </si>
  <si>
    <t># of Fixed residential lines</t>
  </si>
  <si>
    <t># of Virgin residential lines</t>
  </si>
  <si>
    <t># of OR residential lines</t>
  </si>
  <si>
    <t># of residential and SME BB lines</t>
  </si>
  <si>
    <t># of Virgin residential and SME BB lines</t>
  </si>
  <si>
    <t># of OR residential and SME BB lines</t>
  </si>
  <si>
    <t>Cost per Online switch charged by TPV</t>
  </si>
  <si>
    <t>Number of Customers  per Tier</t>
  </si>
  <si>
    <t>TPI Setup Costs</t>
  </si>
  <si>
    <t>TPI Ongoing Costs</t>
  </si>
  <si>
    <t>Fixed line and calls</t>
  </si>
  <si>
    <t>Bundle</t>
  </si>
  <si>
    <t>Bundle %</t>
  </si>
  <si>
    <t>Unique customers</t>
  </si>
  <si>
    <t>Fixed line only</t>
  </si>
  <si>
    <t>TPV Base</t>
  </si>
  <si>
    <t>TPV Alternative</t>
  </si>
  <si>
    <t>5 Year</t>
  </si>
  <si>
    <t>10 Year</t>
  </si>
  <si>
    <t>LPL Base Model vs LPL Alternative Customer Journey</t>
  </si>
  <si>
    <t>LPL Alternative</t>
  </si>
  <si>
    <t>LPL Base</t>
  </si>
  <si>
    <t>TPV Reduced Fees</t>
  </si>
  <si>
    <t>Industry Setup Cost</t>
  </si>
  <si>
    <t>Industry Ongoing Cost</t>
  </si>
  <si>
    <t>Independent Setup Cost</t>
  </si>
  <si>
    <t>Independent Ongoing Cost</t>
  </si>
  <si>
    <t>TPV2</t>
  </si>
  <si>
    <t>Call Handling Times</t>
  </si>
  <si>
    <t>Increase</t>
  </si>
  <si>
    <t>Decrease</t>
  </si>
  <si>
    <t>Capex to OPEX ratio</t>
  </si>
  <si>
    <t>Hi 5 Yr</t>
  </si>
  <si>
    <t>Lo 5 Yr</t>
  </si>
  <si>
    <t>Hi 10 Yr</t>
  </si>
  <si>
    <t>Lo 10 Yr</t>
  </si>
  <si>
    <t>Hi value</t>
  </si>
  <si>
    <t>Lo value</t>
  </si>
  <si>
    <t>CSA Training Costs</t>
  </si>
  <si>
    <t>CSA Cost per Minute</t>
  </si>
  <si>
    <t>TPV Fee</t>
  </si>
  <si>
    <t>Fee per switch</t>
  </si>
  <si>
    <t>Fee for customer cancel</t>
  </si>
  <si>
    <t>Fee for online switch</t>
  </si>
  <si>
    <t>Online</t>
  </si>
  <si>
    <t>Current Call time</t>
  </si>
  <si>
    <t>FTE Costs</t>
  </si>
  <si>
    <t>Day Rate</t>
  </si>
  <si>
    <t>Switching rate</t>
  </si>
  <si>
    <t xml:space="preserve">Output 5 </t>
  </si>
  <si>
    <t>Output 10</t>
  </si>
  <si>
    <t>Model Call-times</t>
  </si>
  <si>
    <t xml:space="preserve">Lo 5 </t>
  </si>
  <si>
    <t>Lo 10</t>
  </si>
  <si>
    <t xml:space="preserve">Hi 5 </t>
  </si>
  <si>
    <t>Hi 10</t>
  </si>
  <si>
    <t>Sensitivity</t>
  </si>
  <si>
    <t>Outputs for Pivot Table</t>
  </si>
  <si>
    <t>Scenario 1 - LPL Model</t>
  </si>
  <si>
    <t>% start with GPL</t>
  </si>
  <si>
    <t>Decrease 10%</t>
  </si>
  <si>
    <t>Increase 10%</t>
  </si>
  <si>
    <t>GP Call-Handling Time</t>
  </si>
  <si>
    <t>Double GP call handling time for 28% of calls</t>
  </si>
  <si>
    <t>NPC Base</t>
  </si>
  <si>
    <t>NPC Alternative</t>
  </si>
  <si>
    <t>Base case</t>
  </si>
  <si>
    <t>£m</t>
  </si>
  <si>
    <t>Base</t>
  </si>
  <si>
    <t>Scenario 3 - TPV Fee</t>
  </si>
  <si>
    <t>GP Call handling time</t>
  </si>
  <si>
    <t>Reduce Fee</t>
  </si>
  <si>
    <t>Unadjusted</t>
  </si>
  <si>
    <t>Adjusted</t>
  </si>
  <si>
    <t>Impact</t>
  </si>
  <si>
    <t>Central Cost - Tiers not applicable</t>
  </si>
  <si>
    <t>Work sheet used to run sensitivity analysis</t>
  </si>
  <si>
    <t>Worksheet used to run outputs of sensitivities</t>
  </si>
  <si>
    <t>5 minutes to find bill, 12 minutes for regular GP call, plus 1 minute extra to explain USN process</t>
  </si>
  <si>
    <t>GP conversation</t>
  </si>
  <si>
    <t>Output Graphs for report</t>
  </si>
  <si>
    <t>Fixed line switch %</t>
  </si>
  <si>
    <t>13 minutes for GP call, 5 minutes for TPV conversation, 2 minutes for GP to end call</t>
  </si>
  <si>
    <t>Total number of customers</t>
  </si>
  <si>
    <t>CHECK with independent</t>
  </si>
  <si>
    <t>CHECK with market sizing</t>
  </si>
  <si>
    <t>NPV calculation</t>
  </si>
  <si>
    <t xml:space="preserve">Number of switches for large business </t>
  </si>
  <si>
    <t>Switches per customer</t>
  </si>
  <si>
    <t>Potential overstatement</t>
  </si>
  <si>
    <t>Switch % is used in the independent model</t>
  </si>
  <si>
    <t>Industry response data - Assumptions</t>
  </si>
  <si>
    <t>Industry market sizing data - assumptions</t>
  </si>
  <si>
    <t>Per CP cost calculations</t>
  </si>
  <si>
    <t>Cell calculated by Macro</t>
  </si>
  <si>
    <t>Industry vs Independent Model 5 and 10 Year NPC (£m)</t>
  </si>
  <si>
    <t>Costs as portion of revenue (%)</t>
  </si>
  <si>
    <t>Setup vs Ongoing Cost (£m)</t>
  </si>
  <si>
    <t>Setup Cost Relative to USN (%)</t>
  </si>
  <si>
    <t>Ongoing Costs Relative to USN (%)</t>
  </si>
  <si>
    <t>CAPEX per customer (£)</t>
  </si>
  <si>
    <t>OPEX per customer (£)</t>
  </si>
  <si>
    <t>Retail CP Average CAPEX (%)</t>
  </si>
  <si>
    <t>Retail CP Average OPEX (%)</t>
  </si>
  <si>
    <t>Time Taken to implement Model (months)</t>
  </si>
  <si>
    <t>Impact of normalisation (%)</t>
  </si>
  <si>
    <t>Setup and Ongoing Costs per Tier per Customer (£)</t>
  </si>
  <si>
    <t>Number of Customers  per Tier (m)</t>
  </si>
  <si>
    <t>Setup Costs and Ongoing Costs of CP in Industry model (£m Excl Central Costs)</t>
  </si>
  <si>
    <t>Industry Model Setup Costs (£)</t>
  </si>
  <si>
    <t>Industry Model Ongoing  Costs (£)</t>
  </si>
  <si>
    <t>Industry Model NPC (£)</t>
  </si>
  <si>
    <t>Independent Model CP and TPI Setup Costs (£)</t>
  </si>
  <si>
    <t>Independent Model CP and TPI Ongoing Costs (£)</t>
  </si>
  <si>
    <t>Independent Model Per Customer (£ CAPEX)</t>
  </si>
  <si>
    <t>Independent Model Per Customer with apportioned TPI (£ CAPEX)</t>
  </si>
  <si>
    <t>Independent Model Per Customer with apportioned TPI (£ OPEX)</t>
  </si>
  <si>
    <t>Independent Model Per Customer (£ OPEX)</t>
  </si>
  <si>
    <t>Independent Model Setup Costs (£)</t>
  </si>
  <si>
    <t>Independent Model Ongoing Costs (£)</t>
  </si>
  <si>
    <t>Independent Model NPC (£)</t>
  </si>
  <si>
    <t>TPV Base vs Alternative £)</t>
  </si>
  <si>
    <t>Annual revenue per customer</t>
  </si>
  <si>
    <t>Per Customer (£) 10 Year NPC</t>
  </si>
  <si>
    <t>Industry Estimate of TPI Costs (£k)</t>
  </si>
  <si>
    <t>CPS separate</t>
  </si>
  <si>
    <t>Bundled</t>
  </si>
  <si>
    <t>Broadband switch%</t>
  </si>
  <si>
    <t>Bundle switch %</t>
  </si>
  <si>
    <t>Total number of SME businesses</t>
  </si>
  <si>
    <t>Delta from Independent</t>
  </si>
  <si>
    <t>Assumes same bundling proportion as consumer</t>
  </si>
  <si>
    <t>Assumes same as consumer</t>
  </si>
  <si>
    <t>Total number of Customers</t>
  </si>
  <si>
    <t>SME % switches</t>
  </si>
  <si>
    <t>Top Down Cross check</t>
  </si>
  <si>
    <t>TPV Fees</t>
  </si>
  <si>
    <t>2.8m CPS and 1.5m Tier A</t>
  </si>
  <si>
    <t>Central Costs for Industry Model V (£)</t>
  </si>
  <si>
    <t>TPV Ongoing Costs</t>
  </si>
  <si>
    <t xml:space="preserve">Five Year Sensitivities </t>
  </si>
  <si>
    <t xml:space="preserve">Ten Year Sensitivities </t>
  </si>
  <si>
    <t>Outputs of Sensitivity Calculations</t>
  </si>
  <si>
    <t>Adjusted = 1</t>
  </si>
  <si>
    <t>Non Adjusted = 2</t>
  </si>
  <si>
    <t>Use Adjusted / Not Adjusted</t>
  </si>
  <si>
    <t>Breakdown of USN - CAPEX (£)</t>
  </si>
  <si>
    <t>Breakdown of USN - OPEX £)</t>
  </si>
  <si>
    <t>Breakdown of LPL - CAPEX (£)</t>
  </si>
  <si>
    <t>Breakdown of LPL - OPEX (£)</t>
  </si>
  <si>
    <t>Includes SME</t>
  </si>
  <si>
    <t>Cross check from top-down market sizing</t>
  </si>
  <si>
    <t>COMMENTS</t>
  </si>
  <si>
    <t>Bottom up - figure used in model</t>
  </si>
  <si>
    <t>Total (Top Down)</t>
  </si>
  <si>
    <t>Total (Bottom-Up)</t>
  </si>
  <si>
    <t>Ofcom Consumer Switching Survey</t>
  </si>
  <si>
    <t>MACROS are used in this sheet - do not add or remove lines/columns</t>
  </si>
  <si>
    <t>Notes:</t>
  </si>
  <si>
    <t>Full list of assumptions for independent model</t>
  </si>
  <si>
    <t>Data Tables for Low, Mid and High Cases</t>
  </si>
  <si>
    <t>Sensitivity Selector (Linked Input from Independent per CP Summary)</t>
  </si>
  <si>
    <t>Model Schematic</t>
  </si>
  <si>
    <t>SWG Switching Options - Cost Model</t>
  </si>
  <si>
    <t>Breakdown by eTOM and TAM line for each model</t>
  </si>
  <si>
    <t>TPV 1</t>
  </si>
  <si>
    <t>TPV 2</t>
  </si>
  <si>
    <t>TPV1</t>
  </si>
  <si>
    <t>TPV3</t>
  </si>
  <si>
    <t>NPC per Sub - Independent Model 10 Years</t>
  </si>
  <si>
    <t>Breakdown of TPV1 - CAPEX (£)</t>
  </si>
  <si>
    <t>Breakdown of TPV1 - OPEX</t>
  </si>
  <si>
    <t>Breakdown of TPV2 - CAPEX (£)</t>
  </si>
  <si>
    <t>Breakdown of TPV2 - OPEX</t>
  </si>
  <si>
    <t>Breakdown of TPV3 - CAPEX (£)</t>
  </si>
  <si>
    <t>Breakdown of TPV3 - OPEX</t>
  </si>
  <si>
    <t>TPV Process</t>
  </si>
  <si>
    <t>Y/N</t>
  </si>
  <si>
    <t>TPV used? (0= No, 1 = Yes)</t>
  </si>
  <si>
    <t>12 minutes for normal GP call</t>
  </si>
  <si>
    <t>Scenario 4 - TPV Fee for TPV2</t>
  </si>
  <si>
    <t>TPV1 vs Reduced £)</t>
  </si>
  <si>
    <t>TPV2 vs Reduced (£)</t>
  </si>
  <si>
    <t>USN Gaining Time</t>
  </si>
  <si>
    <t>USN Losing Time</t>
  </si>
  <si>
    <t>TPV Gaining Time</t>
  </si>
  <si>
    <t>TPV Losing Time</t>
  </si>
  <si>
    <t>LPL Gaining Time</t>
  </si>
  <si>
    <t>LPL Losing Time</t>
  </si>
  <si>
    <t>REDACTED</t>
  </si>
  <si>
    <t>CAPEX for WP and AP</t>
  </si>
  <si>
    <t>OPEX for WP and AP</t>
  </si>
  <si>
    <t>MAC switch%</t>
  </si>
  <si>
    <t>C&amp;R switch%</t>
  </si>
  <si>
    <t>1.3R</t>
  </si>
  <si>
    <t>Figure Number in Report</t>
  </si>
  <si>
    <t>35-38</t>
  </si>
  <si>
    <t>Pasted values from non-redacted model</t>
  </si>
  <si>
    <t>- Training to provide general overview of Account ref and impacts to CRM database
- Updates to CSA documentation, training manuals, online wikis, help documents, FAQs, service catalogues, etc.</t>
  </si>
  <si>
    <t>- Training for CSA's to key in a/c ref, interpret responses from hub
- Training for CSA's in addressing specific customer queries regarding failed migration or a/c ref status
- Documentation of relevant processes
- No requirement for in-depth training to CSAs around TPV related queries and call-handling / transfer mechanisms</t>
  </si>
  <si>
    <t xml:space="preserve">- Front-end portal access to CPs 
- Near real-time interface / batch-interface for messages (requests, notifications and responses) between CP-Hub 
database storage for A/C ref and customer/service related data
- No TPV-Hub interfaces
- enough storage / CPU / memory to support the initial load on the system, 
- DR, back-up, restore, archiving costs, etc.
- Infrastructure covers Dev, Test, Pre-Prod, Prod environments </t>
  </si>
  <si>
    <t>-Automated customer cancel similar to USN</t>
  </si>
  <si>
    <r>
      <t>FTE cost (Fully loaded</t>
    </r>
    <r>
      <rPr>
        <sz val="10"/>
        <color rgb="FFFF0000"/>
        <rFont val="Calibri"/>
        <family val="2"/>
        <scheme val="minor"/>
      </rPr>
      <t xml:space="preserve"> </t>
    </r>
    <r>
      <rPr>
        <sz val="10"/>
        <rFont val="Calibri"/>
        <family val="2"/>
        <scheme val="minor"/>
      </rPr>
      <t>inc. benefits)</t>
    </r>
  </si>
  <si>
    <t>Pasted values to protect confidentiality</t>
  </si>
  <si>
    <t>Pasted value in redacted version to protect CP confidentiality</t>
  </si>
  <si>
    <t>Ofcom 2010 Q4  http://stakeholders.ofcom.org.uk/binaries/research/cmr/q12011.pdf</t>
  </si>
  <si>
    <t>Ofcom 2010 Q4  http://stakeholders.ofcom.org.uk/binaries/research/cmr/Q4_2010.pdf</t>
  </si>
  <si>
    <t>Wholesale and Access Provider</t>
  </si>
  <si>
    <r>
      <rPr>
        <b/>
        <sz val="11"/>
        <color theme="1"/>
        <rFont val="Calibri"/>
        <family val="2"/>
        <scheme val="minor"/>
      </rPr>
      <t xml:space="preserve">Note 1: </t>
    </r>
    <r>
      <rPr>
        <sz val="11"/>
        <color theme="1"/>
        <rFont val="Calibri"/>
        <family val="2"/>
        <scheme val="minor"/>
      </rPr>
      <t xml:space="preserve">These sensitivies have been included for users of the model to better understand the impact of the key cost drivers of the models.  This sensitivity sheet is not referred to in the report. These are distinct from the sensitvities that are mentioned in the report (and detailed on the Independent Cost Inputs sheet) which are utilised to show the spread of reasonable inputs to output a range of total costs for industry. 
</t>
    </r>
    <r>
      <rPr>
        <b/>
        <sz val="11"/>
        <color theme="1"/>
        <rFont val="Calibri"/>
        <family val="2"/>
        <scheme val="minor"/>
      </rPr>
      <t xml:space="preserve">Note 2: </t>
    </r>
    <r>
      <rPr>
        <sz val="11"/>
        <color theme="1"/>
        <rFont val="Calibri"/>
        <family val="2"/>
        <scheme val="minor"/>
      </rPr>
      <t xml:space="preserve">The sensitivities on this sheet show the impact of increasing key assumptions by 10% and decreasing key assumptions by 10% on the overall Net Present Cost of the model. For example, increasing the estimated current call handling time of 14.5mins to 16 mins (10% increase) results in a 7% increase in the mid-case of the Net Present Cost in the USN model. 
</t>
    </r>
    <r>
      <rPr>
        <b/>
        <sz val="11"/>
        <color theme="1"/>
        <rFont val="Calibri"/>
        <family val="2"/>
        <scheme val="minor"/>
      </rPr>
      <t>Note 3</t>
    </r>
    <r>
      <rPr>
        <sz val="11"/>
        <color theme="1"/>
        <rFont val="Calibri"/>
        <family val="2"/>
        <scheme val="minor"/>
      </rPr>
      <t xml:space="preserve">: For Channel Mix - Increase 10%, increases the volume of switches through telesales by 10% and decreases the volume of switches through online by 10%, and vice versa for decrease 10%
</t>
    </r>
    <r>
      <rPr>
        <b/>
        <sz val="11"/>
        <color theme="1"/>
        <rFont val="Calibri"/>
        <family val="2"/>
        <scheme val="minor"/>
      </rPr>
      <t>Note 4:</t>
    </r>
    <r>
      <rPr>
        <sz val="11"/>
        <color theme="1"/>
        <rFont val="Calibri"/>
        <family val="2"/>
        <scheme val="minor"/>
      </rPr>
      <t xml:space="preserve">  The assumptions for the sensitvities can be found on a hidden sheet (Sensitivities)</t>
    </r>
  </si>
  <si>
    <t>Assumes reduction in order handling in Telesales to 13 minutes. In retail and door-to-door, 18 minutes is assumed (as it assumes that sales agent is unable to multi-task during the TPV call - this is a conservative estimate). 14.25 is a blended average calculated by assuming that % sales going through door to door is 10%, retail is 10%, and going through online is 20%. Therefore blended time = (13*(60%/80%)+(18*(20%/80%))</t>
  </si>
  <si>
    <t>Note: TPV1 is "Original TPV" Model, TPV2 is "Alternative TPV" Model, TPV3 is "GPL TxC" model</t>
  </si>
  <si>
    <t>Terms and conditions</t>
  </si>
  <si>
    <t xml:space="preserve">The terms and conditions on which OFCOM is making available the model are set out below.  </t>
  </si>
  <si>
    <t xml:space="preserve">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t>
  </si>
  <si>
    <t xml:space="preserve">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t>
  </si>
  <si>
    <t xml:space="preserve">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 </t>
  </si>
  <si>
    <t>The switching options cost model has been developed to help understand the cost of implementing alternative switching processes (these alternative switching processes are set out in further detail in the consultation on proposals to change the processes for switching fixed voice and broadband providers on the Openreach copper network).</t>
  </si>
  <si>
    <t xml:space="preserve">All right, title and interest in the provided model (the ‘Model’) constructed in Excel to understand the cost of implementing alternative switching processes are owned by OFCOM. Such title and interest is protected by United Kingdom intellectual property laws and international treaty provisions. While you may freely use the Model for the purposes for which it is provided it is not to be modified in any way or used for commercial gain or otherwise without the prior written permission of OFCOM. </t>
  </si>
  <si>
    <t>Note this workbook contains macros.  Macros must be enabled to update the cells calculated by macros.</t>
  </si>
</sst>
</file>

<file path=xl/styles.xml><?xml version="1.0" encoding="utf-8"?>
<styleSheet xmlns="http://schemas.openxmlformats.org/spreadsheetml/2006/main">
  <numFmts count="12">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 #,##0_-;_-* &quot;-&quot;??_-;_-@_-"/>
    <numFmt numFmtId="166" formatCode="0.0"/>
    <numFmt numFmtId="167" formatCode="0.#"/>
    <numFmt numFmtId="168" formatCode="&quot;£&quot;#,##0.00"/>
    <numFmt numFmtId="169" formatCode="_-* #,##0.0_-;\-* #,##0.0_-;_-* &quot;-&quot;??_-;_-@_-"/>
    <numFmt numFmtId="170" formatCode="_-* #,##0.000_-;\-* #,##0.000_-;_-* &quot;-&quot;??_-;_-@_-"/>
  </numFmts>
  <fonts count="45">
    <font>
      <sz val="11"/>
      <color theme="1"/>
      <name val="Calibri"/>
      <family val="2"/>
      <scheme val="minor"/>
    </font>
    <font>
      <sz val="11"/>
      <color theme="1"/>
      <name val="Calibri"/>
      <family val="2"/>
      <scheme val="minor"/>
    </font>
    <font>
      <b/>
      <sz val="18"/>
      <color theme="3"/>
      <name val="Cambria"/>
      <family val="2"/>
      <scheme val="maj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sz val="10"/>
      <name val="Arial"/>
      <family val="2"/>
    </font>
    <font>
      <b/>
      <sz val="11"/>
      <name val="Arial"/>
      <family val="2"/>
    </font>
    <font>
      <i/>
      <sz val="10"/>
      <name val="Arial"/>
      <family val="2"/>
    </font>
    <font>
      <b/>
      <sz val="10"/>
      <name val="Arial"/>
      <family val="2"/>
    </font>
    <font>
      <b/>
      <i/>
      <sz val="10"/>
      <name val="Arial"/>
      <family val="2"/>
    </font>
    <font>
      <b/>
      <sz val="10"/>
      <name val="Calibri"/>
      <family val="2"/>
      <scheme val="minor"/>
    </font>
    <font>
      <sz val="10"/>
      <name val="Calibri"/>
      <family val="2"/>
      <scheme val="minor"/>
    </font>
    <font>
      <sz val="10"/>
      <color indexed="8"/>
      <name val="Arial"/>
      <family val="2"/>
    </font>
    <font>
      <sz val="10"/>
      <color indexed="8"/>
      <name val="Calibri"/>
      <family val="2"/>
      <scheme val="minor"/>
    </font>
    <font>
      <i/>
      <sz val="10"/>
      <name val="Calibri"/>
      <family val="2"/>
      <scheme val="minor"/>
    </font>
    <font>
      <sz val="10"/>
      <color theme="1"/>
      <name val="Calibri"/>
      <family val="2"/>
      <scheme val="minor"/>
    </font>
    <font>
      <sz val="11"/>
      <color indexed="8"/>
      <name val="Calibri"/>
      <family val="2"/>
      <scheme val="minor"/>
    </font>
    <font>
      <b/>
      <i/>
      <sz val="10"/>
      <name val="Calibri"/>
      <family val="2"/>
      <scheme val="minor"/>
    </font>
    <font>
      <sz val="10"/>
      <color rgb="FFFF0000"/>
      <name val="Arial"/>
      <family val="2"/>
    </font>
    <font>
      <sz val="10"/>
      <color rgb="FFFF0000"/>
      <name val="Calibri"/>
      <family val="2"/>
      <scheme val="minor"/>
    </font>
    <font>
      <b/>
      <sz val="10"/>
      <color rgb="FFFF0000"/>
      <name val="Calibri"/>
      <family val="2"/>
      <scheme val="minor"/>
    </font>
    <font>
      <b/>
      <sz val="15"/>
      <name val="Calibri"/>
      <family val="2"/>
      <scheme val="minor"/>
    </font>
    <font>
      <sz val="10"/>
      <name val="Calibri"/>
      <family val="2"/>
    </font>
    <font>
      <b/>
      <sz val="10"/>
      <name val="Calibri"/>
      <family val="2"/>
    </font>
    <font>
      <i/>
      <sz val="10"/>
      <name val="Calibri"/>
      <family val="2"/>
    </font>
    <font>
      <b/>
      <sz val="10"/>
      <color indexed="8"/>
      <name val="Calibri"/>
      <family val="2"/>
      <scheme val="minor"/>
    </font>
    <font>
      <sz val="10"/>
      <name val="Arial"/>
      <family val="2"/>
    </font>
    <font>
      <sz val="10"/>
      <color theme="0"/>
      <name val="Calibri"/>
      <family val="2"/>
      <scheme val="minor"/>
    </font>
    <font>
      <b/>
      <sz val="10"/>
      <color theme="0"/>
      <name val="Calibri"/>
      <family val="2"/>
      <scheme val="minor"/>
    </font>
    <font>
      <b/>
      <u/>
      <sz val="10"/>
      <color theme="0"/>
      <name val="Calibri"/>
      <family val="2"/>
      <scheme val="minor"/>
    </font>
    <font>
      <b/>
      <sz val="14"/>
      <name val="Arial"/>
      <family val="2"/>
    </font>
    <font>
      <sz val="11"/>
      <color rgb="FF000000"/>
      <name val="Calibri"/>
      <family val="2"/>
      <scheme val="minor"/>
    </font>
  </fonts>
  <fills count="47">
    <fill>
      <patternFill patternType="none"/>
    </fill>
    <fill>
      <patternFill patternType="gray125"/>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64"/>
      </patternFill>
    </fill>
    <fill>
      <patternFill patternType="solid">
        <fgColor rgb="FF99CCFF"/>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59996337778862885"/>
        <bgColor indexed="64"/>
      </patternFill>
    </fill>
    <fill>
      <patternFill patternType="solid">
        <fgColor theme="9" tint="0.39994506668294322"/>
        <bgColor indexed="64"/>
      </patternFill>
    </fill>
    <fill>
      <patternFill patternType="solid">
        <fgColor theme="8" tint="0.39994506668294322"/>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1"/>
        <bgColor indexed="64"/>
      </patternFill>
    </fill>
    <fill>
      <patternFill patternType="solid">
        <fgColor rgb="FFFFC000"/>
        <bgColor indexed="64"/>
      </patternFill>
    </fill>
    <fill>
      <patternFill patternType="solid">
        <fgColor theme="2" tint="-0.249977111117893"/>
        <bgColor indexed="64"/>
      </patternFill>
    </fill>
  </fills>
  <borders count="20">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dotted">
        <color auto="1"/>
      </left>
      <right style="dotted">
        <color auto="1"/>
      </right>
      <top style="dotted">
        <color auto="1"/>
      </top>
      <bottom style="dotted">
        <color auto="1"/>
      </bottom>
      <diagonal/>
    </border>
    <border>
      <left style="medium">
        <color auto="1"/>
      </left>
      <right style="medium">
        <color auto="1"/>
      </right>
      <top style="medium">
        <color auto="1"/>
      </top>
      <bottom style="medium">
        <color auto="1"/>
      </bottom>
      <diagonal/>
    </border>
    <border>
      <left style="dotted">
        <color rgb="FFC00000"/>
      </left>
      <right style="dotted">
        <color rgb="FFC00000"/>
      </right>
      <top style="dotted">
        <color rgb="FFC00000"/>
      </top>
      <bottom style="dotted">
        <color rgb="FFC00000"/>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top/>
      <bottom style="thick">
        <color theme="4"/>
      </bottom>
      <diagonal/>
    </border>
    <border>
      <left/>
      <right/>
      <top style="thin">
        <color indexed="64"/>
      </top>
      <bottom style="double">
        <color indexed="64"/>
      </bottom>
      <diagonal/>
    </border>
  </borders>
  <cellStyleXfs count="3096">
    <xf numFmtId="0" fontId="0" fillId="0" borderId="0" applyBorder="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24" fillId="38" borderId="0"/>
    <xf numFmtId="0" fontId="24" fillId="31" borderId="10"/>
    <xf numFmtId="0" fontId="23" fillId="32" borderId="9"/>
    <xf numFmtId="0" fontId="24" fillId="32" borderId="10"/>
    <xf numFmtId="0" fontId="28" fillId="32" borderId="12"/>
    <xf numFmtId="0" fontId="28" fillId="37"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0" fontId="14" fillId="38" borderId="0"/>
    <xf numFmtId="0" fontId="14" fillId="31" borderId="10"/>
    <xf numFmtId="0" fontId="15" fillId="32" borderId="9"/>
    <xf numFmtId="0" fontId="14" fillId="32" borderId="10"/>
    <xf numFmtId="0" fontId="1" fillId="32" borderId="12"/>
    <xf numFmtId="0" fontId="1" fillId="37" borderId="0"/>
    <xf numFmtId="0" fontId="18" fillId="0" borderId="0"/>
    <xf numFmtId="9" fontId="18" fillId="0" borderId="0" applyFont="0" applyFill="0" applyBorder="0" applyAlignment="0" applyProtection="0"/>
    <xf numFmtId="43" fontId="18" fillId="0" borderId="0" applyFont="0" applyFill="0" applyBorder="0" applyAlignment="0" applyProtection="0"/>
    <xf numFmtId="0" fontId="1" fillId="0" borderId="0"/>
    <xf numFmtId="0" fontId="18"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42" fontId="1" fillId="0" borderId="0" applyFont="0" applyFill="0" applyBorder="0" applyAlignment="0" applyProtection="0"/>
    <xf numFmtId="0" fontId="18" fillId="33" borderId="9"/>
    <xf numFmtId="0" fontId="1" fillId="36" borderId="0"/>
    <xf numFmtId="43"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3" fillId="0" borderId="1" applyNumberFormat="0" applyFill="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2" applyNumberFormat="0" applyFill="0" applyAlignment="0" applyProtection="0"/>
    <xf numFmtId="9" fontId="18" fillId="0" borderId="0" applyFont="0" applyFill="0" applyBorder="0" applyAlignment="0" applyProtection="0"/>
    <xf numFmtId="0" fontId="18" fillId="33" borderId="9"/>
    <xf numFmtId="0" fontId="1" fillId="36" borderId="0"/>
    <xf numFmtId="41"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24" fillId="38" borderId="0"/>
    <xf numFmtId="0" fontId="24" fillId="31" borderId="10"/>
    <xf numFmtId="0" fontId="23" fillId="32" borderId="9"/>
    <xf numFmtId="0" fontId="24" fillId="32" borderId="10"/>
    <xf numFmtId="0" fontId="28" fillId="32" borderId="12"/>
    <xf numFmtId="0" fontId="28" fillId="37"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18"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23"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41"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13" fillId="13" borderId="0" applyNumberFormat="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42" fontId="1" fillId="0" borderId="0" applyFont="0" applyFill="0" applyBorder="0" applyAlignment="0" applyProtection="0"/>
    <xf numFmtId="0" fontId="18" fillId="33" borderId="9"/>
    <xf numFmtId="0" fontId="1" fillId="36" borderId="0"/>
    <xf numFmtId="43"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3" fillId="0" borderId="1" applyNumberFormat="0" applyFill="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2" applyNumberFormat="0" applyFill="0" applyAlignment="0" applyProtection="0"/>
    <xf numFmtId="9" fontId="18" fillId="0" borderId="0" applyFont="0" applyFill="0" applyBorder="0" applyAlignment="0" applyProtection="0"/>
    <xf numFmtId="0" fontId="18" fillId="33" borderId="9"/>
    <xf numFmtId="0" fontId="1" fillId="36" borderId="0"/>
    <xf numFmtId="41"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36" borderId="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6" fillId="3" borderId="4" applyNumberFormat="0" applyAlignment="0" applyProtection="0"/>
    <xf numFmtId="0" fontId="11" fillId="0" borderId="0" applyNumberFormat="0" applyFill="0" applyBorder="0" applyAlignment="0" applyProtection="0"/>
    <xf numFmtId="0" fontId="9" fillId="4" borderId="6" applyNumberFormat="0" applyAlignment="0" applyProtection="0"/>
    <xf numFmtId="0" fontId="13" fillId="9" borderId="0" applyNumberFormat="0" applyBorder="0" applyAlignment="0" applyProtection="0"/>
    <xf numFmtId="0" fontId="1" fillId="6" borderId="0" applyNumberFormat="0" applyBorder="0" applyAlignment="0" applyProtection="0"/>
    <xf numFmtId="0" fontId="4" fillId="0" borderId="2" applyNumberFormat="0" applyFill="0" applyAlignment="0" applyProtection="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8" fillId="33" borderId="9"/>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0" fontId="5" fillId="2" borderId="3" applyNumberFormat="0" applyAlignment="0" applyProtection="0"/>
    <xf numFmtId="0" fontId="1" fillId="5" borderId="7" applyNumberFormat="0" applyFont="0" applyAlignment="0" applyProtection="0"/>
    <xf numFmtId="0" fontId="8" fillId="0" borderId="5" applyNumberFormat="0" applyFill="0" applyAlignment="0" applyProtection="0"/>
    <xf numFmtId="0" fontId="13" fillId="8" borderId="0" applyNumberFormat="0" applyBorder="0" applyAlignment="0" applyProtection="0"/>
    <xf numFmtId="0" fontId="15" fillId="30" borderId="0" applyNumberFormat="0" applyBorder="0" applyAlignment="0" applyProtection="0"/>
    <xf numFmtId="0" fontId="3" fillId="0" borderId="1" applyNumberFormat="0" applyFill="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13" fillId="12" borderId="0" applyNumberFormat="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8"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2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2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42" fontId="1" fillId="0" borderId="0" applyFont="0" applyFill="0" applyBorder="0" applyAlignment="0" applyProtection="0"/>
    <xf numFmtId="0" fontId="18" fillId="33" borderId="9"/>
    <xf numFmtId="0" fontId="1" fillId="36" borderId="0"/>
    <xf numFmtId="43"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3" fillId="0" borderId="1" applyNumberFormat="0" applyFill="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2" applyNumberFormat="0" applyFill="0" applyAlignment="0" applyProtection="0"/>
    <xf numFmtId="9" fontId="18" fillId="0" borderId="0" applyFont="0" applyFill="0" applyBorder="0" applyAlignment="0" applyProtection="0"/>
    <xf numFmtId="0" fontId="18" fillId="33" borderId="9"/>
    <xf numFmtId="0" fontId="1" fillId="36" borderId="0"/>
    <xf numFmtId="41"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0" fontId="1" fillId="11" borderId="0" applyNumberFormat="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4" fillId="0" borderId="0" applyNumberFormat="0" applyFill="0" applyBorder="0" applyAlignment="0" applyProtection="0"/>
    <xf numFmtId="0" fontId="10" fillId="0" borderId="0" applyNumberFormat="0" applyFill="0" applyBorder="0" applyAlignment="0" applyProtection="0"/>
    <xf numFmtId="0" fontId="7" fillId="3" borderId="3" applyNumberFormat="0" applyAlignment="0" applyProtection="0"/>
    <xf numFmtId="0" fontId="1" fillId="7" borderId="0" applyNumberFormat="0" applyBorder="0" applyAlignment="0" applyProtection="0"/>
    <xf numFmtId="0" fontId="12" fillId="0" borderId="8" applyNumberFormat="0" applyFill="0" applyAlignment="0" applyProtection="0"/>
    <xf numFmtId="0" fontId="2"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10" borderId="0" applyNumberFormat="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2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22"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1"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2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19"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18"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1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3" fillId="1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1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 fillId="1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9"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42" fontId="1" fillId="0" borderId="0" applyFont="0" applyFill="0" applyBorder="0" applyAlignment="0" applyProtection="0"/>
    <xf numFmtId="0" fontId="18" fillId="33" borderId="9"/>
    <xf numFmtId="0" fontId="1" fillId="36" borderId="0"/>
    <xf numFmtId="43"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3" fillId="0" borderId="1" applyNumberFormat="0" applyFill="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2" applyNumberFormat="0" applyFill="0" applyAlignment="0" applyProtection="0"/>
    <xf numFmtId="9" fontId="18" fillId="0" borderId="0" applyFont="0" applyFill="0" applyBorder="0" applyAlignment="0" applyProtection="0"/>
    <xf numFmtId="0" fontId="18" fillId="33" borderId="9"/>
    <xf numFmtId="0" fontId="1" fillId="36" borderId="0"/>
    <xf numFmtId="41" fontId="1" fillId="0" borderId="0" applyFont="0" applyFill="0" applyBorder="0" applyAlignment="0" applyProtection="0"/>
    <xf numFmtId="0" fontId="2" fillId="0" borderId="0" applyNumberForma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4" fillId="0" borderId="18" applyNumberFormat="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5" fillId="2" borderId="3" applyNumberFormat="0" applyAlignment="0" applyProtection="0"/>
    <xf numFmtId="0" fontId="18" fillId="33" borderId="9"/>
    <xf numFmtId="0" fontId="1" fillId="36" borderId="0"/>
    <xf numFmtId="9" fontId="18" fillId="0" borderId="0" applyFont="0" applyFill="0" applyBorder="0" applyAlignment="0" applyProtection="0"/>
    <xf numFmtId="43" fontId="18"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4" fillId="0" borderId="0" applyNumberFormat="0" applyFill="0" applyBorder="0" applyAlignment="0" applyProtection="0"/>
    <xf numFmtId="0" fontId="18" fillId="33" borderId="9"/>
    <xf numFmtId="0" fontId="1" fillId="36" borderId="0"/>
    <xf numFmtId="9" fontId="1" fillId="0" borderId="0" applyFont="0" applyFill="0" applyBorder="0" applyAlignment="0" applyProtection="0"/>
    <xf numFmtId="42" fontId="1" fillId="0" borderId="0" applyFont="0" applyFill="0" applyBorder="0" applyAlignment="0" applyProtection="0"/>
    <xf numFmtId="0" fontId="34" fillId="0" borderId="18" applyNumberFormat="0" applyAlignment="0" applyProtection="0"/>
    <xf numFmtId="0" fontId="2" fillId="0" borderId="0" applyNumberFormat="0" applyFill="0" applyBorder="0" applyAlignment="0" applyProtection="0"/>
    <xf numFmtId="41"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4" fillId="0" borderId="2" applyNumberFormat="0" applyFill="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3" fillId="0" borderId="1" applyNumberFormat="0" applyFill="0" applyAlignment="0" applyProtection="0"/>
    <xf numFmtId="0" fontId="18" fillId="33" borderId="9"/>
    <xf numFmtId="0" fontId="1" fillId="36" borderId="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0" fontId="2" fillId="0" borderId="0" applyNumberFormat="0" applyFill="0" applyBorder="0" applyAlignment="0" applyProtection="0"/>
    <xf numFmtId="0" fontId="4" fillId="0" borderId="2" applyNumberFormat="0" applyFill="0" applyAlignment="0" applyProtection="0"/>
    <xf numFmtId="0" fontId="4" fillId="0" borderId="0" applyNumberFormat="0" applyFill="0" applyBorder="0" applyAlignment="0" applyProtection="0"/>
    <xf numFmtId="0" fontId="5" fillId="2" borderId="3" applyNumberFormat="0" applyAlignment="0" applyProtection="0"/>
    <xf numFmtId="0" fontId="6" fillId="3" borderId="4" applyNumberFormat="0" applyAlignment="0" applyProtection="0"/>
    <xf numFmtId="0" fontId="7" fillId="3" borderId="3" applyNumberFormat="0" applyAlignment="0" applyProtection="0"/>
    <xf numFmtId="0" fontId="8" fillId="0" borderId="5" applyNumberFormat="0" applyFill="0" applyAlignment="0" applyProtection="0"/>
    <xf numFmtId="0" fontId="9" fillId="4" borderId="6" applyNumberFormat="0" applyAlignment="0" applyProtection="0"/>
    <xf numFmtId="0" fontId="10" fillId="0" borderId="0" applyNumberFormat="0" applyFill="0" applyBorder="0" applyAlignment="0" applyProtection="0"/>
    <xf numFmtId="0" fontId="1" fillId="5" borderId="7" applyNumberFormat="0" applyFont="0" applyAlignment="0" applyProtection="0"/>
    <xf numFmtId="0" fontId="11" fillId="0" borderId="0" applyNumberFormat="0" applyFill="0" applyBorder="0" applyAlignment="0" applyProtection="0"/>
    <xf numFmtId="0" fontId="12" fillId="0" borderId="8" applyNumberFormat="0" applyFill="0" applyAlignment="0" applyProtection="0"/>
    <xf numFmtId="0" fontId="15" fillId="30"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3" fillId="28" borderId="0" applyNumberFormat="0" applyBorder="0" applyAlignment="0" applyProtection="0"/>
    <xf numFmtId="0" fontId="18" fillId="33" borderId="9"/>
    <xf numFmtId="0" fontId="1" fillId="36" borderId="0"/>
    <xf numFmtId="9" fontId="18" fillId="0" borderId="0" applyFont="0" applyFill="0" applyBorder="0" applyAlignment="0" applyProtection="0"/>
    <xf numFmtId="0" fontId="39" fillId="0" borderId="0"/>
    <xf numFmtId="9" fontId="35" fillId="0" borderId="0" applyFill="0" applyBorder="0" applyAlignment="0" applyProtection="0"/>
    <xf numFmtId="43" fontId="24" fillId="0" borderId="0" applyFill="0" applyBorder="0" applyAlignment="0" applyProtection="0"/>
    <xf numFmtId="0" fontId="43" fillId="0" borderId="0" applyNumberFormat="0" applyFill="0" applyBorder="0" applyAlignment="0" applyProtection="0">
      <alignment vertical="center"/>
    </xf>
  </cellStyleXfs>
  <cellXfs count="487">
    <xf numFmtId="0" fontId="0" fillId="0" borderId="0" xfId="0"/>
    <xf numFmtId="0" fontId="14" fillId="0" borderId="0" xfId="0" applyFont="1"/>
    <xf numFmtId="0" fontId="15" fillId="0" borderId="0" xfId="0" applyFont="1"/>
    <xf numFmtId="0" fontId="16" fillId="0" borderId="0" xfId="0" applyFont="1"/>
    <xf numFmtId="0" fontId="15" fillId="29" borderId="0" xfId="0" applyFont="1" applyFill="1"/>
    <xf numFmtId="0" fontId="17" fillId="29" borderId="0" xfId="0" applyFont="1" applyFill="1"/>
    <xf numFmtId="15" fontId="15" fillId="0" borderId="0" xfId="0" applyNumberFormat="1" applyFont="1" applyAlignment="1">
      <alignment horizontal="left"/>
    </xf>
    <xf numFmtId="0" fontId="15" fillId="0" borderId="0" xfId="0" quotePrefix="1" applyFont="1"/>
    <xf numFmtId="0" fontId="15" fillId="30" borderId="0" xfId="19"/>
    <xf numFmtId="0" fontId="15" fillId="0" borderId="0" xfId="0" applyFont="1" applyAlignment="1">
      <alignment horizontal="left"/>
    </xf>
    <xf numFmtId="0" fontId="14" fillId="31" borderId="0" xfId="0" applyFont="1" applyFill="1" applyBorder="1"/>
    <xf numFmtId="0" fontId="1" fillId="31" borderId="0" xfId="0" applyFont="1" applyFill="1" applyBorder="1"/>
    <xf numFmtId="0" fontId="1" fillId="0" borderId="0" xfId="0" applyFont="1" applyBorder="1" applyAlignment="1"/>
    <xf numFmtId="0" fontId="14" fillId="31" borderId="0" xfId="0" applyFont="1" applyFill="1" applyBorder="1"/>
    <xf numFmtId="0" fontId="14" fillId="29" borderId="0" xfId="0" applyFont="1" applyFill="1"/>
    <xf numFmtId="0" fontId="16" fillId="29" borderId="0" xfId="0" applyFont="1" applyFill="1"/>
    <xf numFmtId="0" fontId="18" fillId="0" borderId="0" xfId="0" applyFont="1" applyAlignment="1"/>
    <xf numFmtId="0" fontId="19" fillId="0" borderId="0" xfId="0" applyFont="1" applyAlignment="1"/>
    <xf numFmtId="0" fontId="20" fillId="0" borderId="0" xfId="0" applyFont="1" applyAlignment="1"/>
    <xf numFmtId="0" fontId="21" fillId="29" borderId="0" xfId="0" applyFont="1" applyFill="1" applyAlignment="1"/>
    <xf numFmtId="0" fontId="21" fillId="29" borderId="0" xfId="0" applyFont="1" applyFill="1" applyAlignment="1">
      <alignment horizontal="center"/>
    </xf>
    <xf numFmtId="0" fontId="22" fillId="29" borderId="0" xfId="0" applyFont="1" applyFill="1" applyAlignment="1"/>
    <xf numFmtId="164" fontId="18" fillId="0" borderId="0" xfId="5" applyNumberFormat="1" applyFont="1" applyAlignment="1"/>
    <xf numFmtId="164" fontId="20" fillId="0" borderId="0" xfId="5" applyNumberFormat="1" applyFont="1" applyAlignment="1"/>
    <xf numFmtId="0" fontId="18" fillId="0" borderId="0" xfId="0" applyFont="1" applyFill="1" applyBorder="1" applyAlignment="1"/>
    <xf numFmtId="0" fontId="18" fillId="0" borderId="0" xfId="0" applyFont="1" applyFill="1" applyBorder="1" applyProtection="1"/>
    <xf numFmtId="165" fontId="18" fillId="0" borderId="0" xfId="0" applyNumberFormat="1" applyFont="1" applyAlignment="1"/>
    <xf numFmtId="0" fontId="23" fillId="34" borderId="0" xfId="0" applyFont="1" applyFill="1" applyBorder="1" applyAlignment="1"/>
    <xf numFmtId="0" fontId="24" fillId="34" borderId="0" xfId="0" applyFont="1" applyFill="1" applyBorder="1" applyAlignment="1"/>
    <xf numFmtId="0" fontId="18" fillId="34" borderId="0" xfId="0" applyFont="1" applyFill="1" applyBorder="1" applyAlignment="1"/>
    <xf numFmtId="0" fontId="24" fillId="0" borderId="0" xfId="0" applyFont="1" applyAlignment="1"/>
    <xf numFmtId="0" fontId="23" fillId="0" borderId="0" xfId="0" applyFont="1" applyAlignment="1"/>
    <xf numFmtId="0" fontId="24" fillId="0" borderId="0" xfId="0" applyFont="1" applyAlignment="1">
      <alignment vertical="center" wrapText="1"/>
    </xf>
    <xf numFmtId="165" fontId="18" fillId="0" borderId="0" xfId="1" applyNumberFormat="1" applyFont="1" applyAlignment="1"/>
    <xf numFmtId="0" fontId="24" fillId="0" borderId="0" xfId="0" applyFont="1" applyFill="1" applyAlignment="1">
      <alignment vertical="center" wrapText="1"/>
    </xf>
    <xf numFmtId="166" fontId="18" fillId="31" borderId="0" xfId="0" applyNumberFormat="1" applyFont="1" applyFill="1" applyBorder="1" applyAlignment="1" applyProtection="1"/>
    <xf numFmtId="0" fontId="18" fillId="31" borderId="0" xfId="0" applyFont="1" applyFill="1" applyAlignment="1"/>
    <xf numFmtId="0" fontId="20" fillId="0" borderId="0" xfId="0" applyFont="1" applyFill="1" applyAlignment="1"/>
    <xf numFmtId="0" fontId="18" fillId="0" borderId="0" xfId="0" applyFont="1" applyFill="1" applyAlignment="1"/>
    <xf numFmtId="0" fontId="24" fillId="0" borderId="0" xfId="0" applyFont="1" applyFill="1" applyAlignment="1"/>
    <xf numFmtId="9" fontId="25" fillId="31" borderId="0" xfId="0" applyNumberFormat="1" applyFont="1" applyFill="1" applyBorder="1" applyAlignment="1" applyProtection="1"/>
    <xf numFmtId="9" fontId="25" fillId="0" borderId="0" xfId="5" applyFont="1" applyFill="1" applyBorder="1" applyAlignment="1"/>
    <xf numFmtId="9" fontId="26" fillId="0" borderId="0" xfId="5" applyFont="1" applyFill="1" applyBorder="1" applyAlignment="1"/>
    <xf numFmtId="2" fontId="25" fillId="31" borderId="0" xfId="0" applyNumberFormat="1" applyFont="1" applyFill="1" applyBorder="1" applyAlignment="1" applyProtection="1"/>
    <xf numFmtId="165" fontId="25" fillId="31" borderId="0" xfId="0" applyNumberFormat="1" applyFont="1" applyFill="1" applyBorder="1" applyAlignment="1" applyProtection="1"/>
    <xf numFmtId="0" fontId="21" fillId="0" borderId="0" xfId="0" applyFont="1" applyAlignment="1"/>
    <xf numFmtId="0" fontId="23" fillId="34" borderId="0" xfId="0" applyFont="1" applyFill="1" applyAlignment="1"/>
    <xf numFmtId="0" fontId="24" fillId="34" borderId="0" xfId="0" applyFont="1" applyFill="1" applyAlignment="1"/>
    <xf numFmtId="0" fontId="18" fillId="34" borderId="0" xfId="0" applyFont="1" applyFill="1" applyAlignment="1"/>
    <xf numFmtId="0" fontId="23" fillId="0" borderId="0" xfId="0" applyFont="1" applyAlignment="1">
      <alignment vertical="center" wrapText="1"/>
    </xf>
    <xf numFmtId="0" fontId="24" fillId="0" borderId="0" xfId="0" applyFont="1" applyAlignment="1">
      <alignment vertical="center"/>
    </xf>
    <xf numFmtId="0" fontId="23" fillId="29" borderId="0" xfId="0" applyFont="1" applyFill="1" applyAlignment="1"/>
    <xf numFmtId="0" fontId="23" fillId="29" borderId="0" xfId="0" applyFont="1" applyFill="1" applyAlignment="1">
      <alignment vertical="center" wrapText="1"/>
    </xf>
    <xf numFmtId="0" fontId="23" fillId="29" borderId="0" xfId="0" applyFont="1" applyFill="1" applyAlignment="1">
      <alignment vertical="center"/>
    </xf>
    <xf numFmtId="0" fontId="24" fillId="35" borderId="0" xfId="0" applyFont="1" applyFill="1" applyAlignment="1">
      <alignment vertical="center" wrapText="1"/>
    </xf>
    <xf numFmtId="0" fontId="24" fillId="0" borderId="0" xfId="0" applyFont="1" applyFill="1" applyAlignment="1">
      <alignment vertical="center"/>
    </xf>
    <xf numFmtId="0" fontId="24" fillId="0" borderId="0" xfId="0" applyFont="1" applyAlignment="1">
      <alignment wrapText="1"/>
    </xf>
    <xf numFmtId="165" fontId="24" fillId="0" borderId="0" xfId="1" applyNumberFormat="1" applyFont="1" applyAlignment="1">
      <alignment horizontal="center" vertical="center" wrapText="1"/>
    </xf>
    <xf numFmtId="0" fontId="27" fillId="0" borderId="0" xfId="0" applyFont="1" applyAlignment="1">
      <alignment wrapText="1"/>
    </xf>
    <xf numFmtId="165" fontId="24" fillId="0" borderId="0" xfId="1" applyNumberFormat="1" applyFont="1" applyAlignment="1">
      <alignment vertical="center" wrapText="1"/>
    </xf>
    <xf numFmtId="165" fontId="28" fillId="0" borderId="0" xfId="1" applyNumberFormat="1" applyFont="1" applyAlignment="1">
      <alignment vertical="center" wrapText="1"/>
    </xf>
    <xf numFmtId="0" fontId="27" fillId="0" borderId="0" xfId="0" applyFont="1" applyAlignment="1"/>
    <xf numFmtId="0" fontId="27" fillId="0" borderId="0" xfId="0" applyFont="1" applyFill="1" applyAlignment="1"/>
    <xf numFmtId="0" fontId="18" fillId="0" borderId="0" xfId="0" applyFont="1"/>
    <xf numFmtId="0" fontId="18" fillId="31" borderId="0" xfId="0" applyFont="1" applyFill="1"/>
    <xf numFmtId="166" fontId="25" fillId="31" borderId="0" xfId="0" applyNumberFormat="1" applyFont="1" applyFill="1" applyBorder="1" applyAlignment="1" applyProtection="1"/>
    <xf numFmtId="0" fontId="24" fillId="32" borderId="10" xfId="48"/>
    <xf numFmtId="0" fontId="0" fillId="0" borderId="0" xfId="0"/>
    <xf numFmtId="1" fontId="14" fillId="0" borderId="0" xfId="0" applyNumberFormat="1" applyFont="1"/>
    <xf numFmtId="15" fontId="14" fillId="0" borderId="0" xfId="0" applyNumberFormat="1" applyFont="1" applyAlignment="1">
      <alignment horizontal="left"/>
    </xf>
    <xf numFmtId="0" fontId="14" fillId="0" borderId="0" xfId="0" quotePrefix="1" applyFont="1"/>
    <xf numFmtId="0" fontId="14" fillId="0" borderId="0" xfId="0" applyFont="1"/>
    <xf numFmtId="0" fontId="15" fillId="32" borderId="11" xfId="0" quotePrefix="1" applyFont="1" applyFill="1" applyBorder="1" applyAlignment="1" applyProtection="1"/>
    <xf numFmtId="0" fontId="24" fillId="38" borderId="0" xfId="45"/>
    <xf numFmtId="0" fontId="24" fillId="31" borderId="10" xfId="46" quotePrefix="1"/>
    <xf numFmtId="0" fontId="24" fillId="32" borderId="10" xfId="48" quotePrefix="1"/>
    <xf numFmtId="0" fontId="28" fillId="32" borderId="12" xfId="49" quotePrefix="1"/>
    <xf numFmtId="0" fontId="28" fillId="37" borderId="0" xfId="50"/>
    <xf numFmtId="3" fontId="28" fillId="32" borderId="12" xfId="49" applyNumberFormat="1" applyFont="1"/>
    <xf numFmtId="9" fontId="28" fillId="32" borderId="12" xfId="49" applyNumberFormat="1" applyFont="1"/>
    <xf numFmtId="0" fontId="14" fillId="0" borderId="0" xfId="0" applyFont="1"/>
    <xf numFmtId="0" fontId="16" fillId="0" borderId="0" xfId="0" applyFont="1"/>
    <xf numFmtId="9" fontId="29" fillId="31" borderId="0" xfId="0" applyNumberFormat="1" applyFont="1" applyFill="1" applyBorder="1" applyAlignment="1" applyProtection="1"/>
    <xf numFmtId="0" fontId="14" fillId="31" borderId="0" xfId="0" applyFont="1" applyFill="1"/>
    <xf numFmtId="0" fontId="15" fillId="0" borderId="0" xfId="0" applyFont="1"/>
    <xf numFmtId="164" fontId="16" fillId="0" borderId="0" xfId="51" applyNumberFormat="1" applyFont="1"/>
    <xf numFmtId="164" fontId="14" fillId="0" borderId="0" xfId="51" applyNumberFormat="1" applyFont="1"/>
    <xf numFmtId="0" fontId="15" fillId="29" borderId="0" xfId="0" applyFont="1" applyFill="1"/>
    <xf numFmtId="0" fontId="17" fillId="29" borderId="0" xfId="0" applyFont="1" applyFill="1"/>
    <xf numFmtId="0" fontId="24" fillId="0" borderId="0" xfId="0" applyFont="1" applyAlignment="1">
      <alignment vertical="center"/>
    </xf>
    <xf numFmtId="0" fontId="23" fillId="29" borderId="0" xfId="0" applyFont="1" applyFill="1" applyAlignment="1">
      <alignment vertical="center"/>
    </xf>
    <xf numFmtId="0" fontId="23" fillId="0" borderId="0" xfId="0" applyFont="1" applyAlignment="1">
      <alignment vertical="center"/>
    </xf>
    <xf numFmtId="9" fontId="26" fillId="31" borderId="0" xfId="0" applyNumberFormat="1" applyFont="1" applyFill="1" applyBorder="1" applyAlignment="1" applyProtection="1">
      <alignment vertical="center" wrapText="1"/>
    </xf>
    <xf numFmtId="0" fontId="24" fillId="0" borderId="0" xfId="0" applyFont="1" applyBorder="1" applyAlignment="1">
      <alignment vertical="center" wrapText="1"/>
    </xf>
    <xf numFmtId="0" fontId="24" fillId="31" borderId="0" xfId="0" applyFont="1" applyFill="1" applyBorder="1" applyAlignment="1">
      <alignment vertical="center" wrapText="1"/>
    </xf>
    <xf numFmtId="0" fontId="24" fillId="0" borderId="0" xfId="0" applyFont="1" applyFill="1" applyBorder="1" applyAlignment="1">
      <alignment vertical="center" wrapText="1"/>
    </xf>
    <xf numFmtId="3" fontId="28" fillId="0" borderId="0" xfId="49" applyNumberFormat="1" applyFont="1" applyFill="1" applyBorder="1"/>
    <xf numFmtId="165" fontId="24" fillId="0" borderId="0" xfId="1" applyNumberFormat="1" applyFont="1" applyFill="1" applyBorder="1" applyAlignment="1">
      <alignment horizontal="center" vertical="center" wrapText="1"/>
    </xf>
    <xf numFmtId="9" fontId="28" fillId="0" borderId="0" xfId="49" applyNumberFormat="1" applyFont="1" applyFill="1" applyBorder="1"/>
    <xf numFmtId="165" fontId="24" fillId="0" borderId="0" xfId="1" applyNumberFormat="1" applyFont="1" applyFill="1" applyBorder="1" applyAlignment="1">
      <alignment vertical="center" wrapText="1"/>
    </xf>
    <xf numFmtId="0" fontId="24" fillId="0" borderId="0" xfId="0" applyFont="1" applyFill="1" applyBorder="1" applyAlignment="1">
      <alignment vertical="center"/>
    </xf>
    <xf numFmtId="0" fontId="23" fillId="0" borderId="0" xfId="0" applyFont="1" applyFill="1" applyBorder="1" applyAlignment="1"/>
    <xf numFmtId="0" fontId="24" fillId="0" borderId="0" xfId="0" applyFont="1" applyFill="1" applyBorder="1" applyAlignment="1"/>
    <xf numFmtId="10" fontId="24" fillId="31" borderId="0" xfId="5" applyNumberFormat="1" applyFont="1" applyFill="1" applyBorder="1" applyAlignment="1" applyProtection="1">
      <alignment vertical="center" wrapText="1"/>
    </xf>
    <xf numFmtId="166" fontId="26" fillId="31" borderId="0" xfId="0" applyNumberFormat="1" applyFont="1" applyFill="1" applyBorder="1" applyAlignment="1">
      <alignment vertical="center" wrapText="1"/>
    </xf>
    <xf numFmtId="49" fontId="26" fillId="31" borderId="0" xfId="0" applyNumberFormat="1" applyFont="1" applyFill="1" applyBorder="1" applyAlignment="1" applyProtection="1">
      <alignment vertical="center" wrapText="1"/>
    </xf>
    <xf numFmtId="49" fontId="24" fillId="0" borderId="0" xfId="0" applyNumberFormat="1" applyFont="1" applyBorder="1" applyAlignment="1">
      <alignment vertical="center" wrapText="1"/>
    </xf>
    <xf numFmtId="49" fontId="24" fillId="0" borderId="0" xfId="0" quotePrefix="1" applyNumberFormat="1" applyFont="1" applyBorder="1" applyAlignment="1">
      <alignment vertical="center" wrapText="1"/>
    </xf>
    <xf numFmtId="10" fontId="24" fillId="31" borderId="13" xfId="5" applyNumberFormat="1" applyFont="1" applyFill="1" applyBorder="1" applyAlignment="1" applyProtection="1">
      <alignment vertical="center" wrapText="1"/>
    </xf>
    <xf numFmtId="49" fontId="24" fillId="31" borderId="13" xfId="5" applyNumberFormat="1" applyFont="1" applyFill="1" applyBorder="1" applyAlignment="1" applyProtection="1">
      <alignment vertical="center" wrapText="1"/>
    </xf>
    <xf numFmtId="10" fontId="24" fillId="31" borderId="14" xfId="5" applyNumberFormat="1" applyFont="1" applyFill="1" applyBorder="1" applyAlignment="1" applyProtection="1">
      <alignment vertical="center" wrapText="1"/>
    </xf>
    <xf numFmtId="49" fontId="24" fillId="0" borderId="13" xfId="0" applyNumberFormat="1" applyFont="1" applyFill="1" applyBorder="1" applyAlignment="1">
      <alignment vertical="center" wrapText="1"/>
    </xf>
    <xf numFmtId="0" fontId="24" fillId="31" borderId="13" xfId="0" applyFont="1" applyFill="1" applyBorder="1" applyAlignment="1">
      <alignment vertical="center" wrapText="1"/>
    </xf>
    <xf numFmtId="9" fontId="26" fillId="31" borderId="13" xfId="0" applyNumberFormat="1" applyFont="1" applyFill="1" applyBorder="1" applyAlignment="1" applyProtection="1">
      <alignment vertical="center" wrapText="1"/>
    </xf>
    <xf numFmtId="0" fontId="24" fillId="0" borderId="13" xfId="0" applyFont="1" applyBorder="1" applyAlignment="1">
      <alignment vertical="center" wrapText="1"/>
    </xf>
    <xf numFmtId="9" fontId="28" fillId="32" borderId="12" xfId="51" applyFont="1" applyFill="1" applyBorder="1"/>
    <xf numFmtId="0" fontId="28" fillId="0" borderId="0" xfId="49" applyFont="1" applyFill="1" applyBorder="1"/>
    <xf numFmtId="3" fontId="28" fillId="0" borderId="0" xfId="49" applyNumberFormat="1" applyFill="1" applyBorder="1"/>
    <xf numFmtId="0" fontId="28" fillId="0" borderId="0" xfId="49" applyFill="1" applyBorder="1"/>
    <xf numFmtId="9" fontId="28" fillId="0" borderId="0" xfId="51" applyFont="1" applyFill="1" applyBorder="1"/>
    <xf numFmtId="165" fontId="23" fillId="39" borderId="0" xfId="1" applyNumberFormat="1" applyFont="1" applyFill="1" applyBorder="1" applyAlignment="1">
      <alignment horizontal="center" vertical="center" wrapText="1"/>
    </xf>
    <xf numFmtId="165" fontId="23" fillId="39" borderId="0" xfId="1" applyNumberFormat="1" applyFont="1" applyFill="1" applyBorder="1" applyAlignment="1">
      <alignment vertical="center" wrapText="1"/>
    </xf>
    <xf numFmtId="0" fontId="23" fillId="39" borderId="0" xfId="0" applyFont="1" applyFill="1" applyBorder="1" applyAlignment="1">
      <alignment vertical="center" wrapText="1"/>
    </xf>
    <xf numFmtId="165" fontId="23" fillId="39" borderId="0" xfId="0" applyNumberFormat="1" applyFont="1" applyFill="1" applyBorder="1" applyAlignment="1">
      <alignment vertical="center" wrapText="1"/>
    </xf>
    <xf numFmtId="0" fontId="23" fillId="29" borderId="0" xfId="0" applyFont="1" applyFill="1" applyBorder="1" applyAlignment="1">
      <alignment vertical="center" wrapText="1"/>
    </xf>
    <xf numFmtId="3" fontId="24" fillId="0" borderId="0" xfId="0" applyNumberFormat="1" applyFont="1" applyBorder="1" applyAlignment="1">
      <alignment vertical="center" wrapText="1"/>
    </xf>
    <xf numFmtId="3" fontId="24" fillId="0" borderId="0" xfId="0" applyNumberFormat="1" applyFont="1" applyFill="1" applyBorder="1" applyAlignment="1">
      <alignment vertical="center" wrapText="1"/>
    </xf>
    <xf numFmtId="9" fontId="14" fillId="0" borderId="0" xfId="51" applyFont="1"/>
    <xf numFmtId="165" fontId="14" fillId="0" borderId="0" xfId="52" applyNumberFormat="1" applyFont="1"/>
    <xf numFmtId="165" fontId="1" fillId="0" borderId="0" xfId="52" applyNumberFormat="1" applyFont="1"/>
    <xf numFmtId="2" fontId="29" fillId="31" borderId="0" xfId="0" applyNumberFormat="1" applyFont="1" applyFill="1" applyBorder="1" applyAlignment="1" applyProtection="1"/>
    <xf numFmtId="9" fontId="29" fillId="0" borderId="0" xfId="51" applyFont="1" applyFill="1" applyBorder="1"/>
    <xf numFmtId="166" fontId="29" fillId="31" borderId="0" xfId="0" applyNumberFormat="1" applyFont="1" applyFill="1" applyBorder="1" applyAlignment="1" applyProtection="1"/>
    <xf numFmtId="1" fontId="29" fillId="31" borderId="0" xfId="0" applyNumberFormat="1" applyFont="1" applyFill="1" applyBorder="1" applyAlignment="1" applyProtection="1"/>
    <xf numFmtId="0" fontId="14" fillId="0" borderId="0" xfId="0" applyFont="1" applyFill="1"/>
    <xf numFmtId="0" fontId="16" fillId="0" borderId="0" xfId="0" applyFont="1" applyFill="1"/>
    <xf numFmtId="166" fontId="29" fillId="31" borderId="0" xfId="0" applyNumberFormat="1" applyFont="1" applyFill="1"/>
    <xf numFmtId="10" fontId="14" fillId="31" borderId="0" xfId="51" applyNumberFormat="1" applyFont="1" applyFill="1" applyBorder="1" applyAlignment="1" applyProtection="1"/>
    <xf numFmtId="166" fontId="14" fillId="31" borderId="0" xfId="0" applyNumberFormat="1" applyFont="1" applyFill="1" applyBorder="1" applyAlignment="1" applyProtection="1"/>
    <xf numFmtId="3" fontId="24" fillId="0" borderId="0" xfId="0" applyNumberFormat="1" applyFont="1"/>
    <xf numFmtId="0" fontId="24" fillId="0" borderId="0" xfId="0" applyFont="1"/>
    <xf numFmtId="0" fontId="24" fillId="34" borderId="0" xfId="0" applyFont="1" applyFill="1" applyAlignment="1">
      <alignment vertical="center" wrapText="1"/>
    </xf>
    <xf numFmtId="0" fontId="24" fillId="34" borderId="0" xfId="0" applyFont="1" applyFill="1" applyAlignment="1">
      <alignment vertical="center"/>
    </xf>
    <xf numFmtId="0" fontId="24" fillId="34" borderId="0" xfId="0" applyFont="1" applyFill="1" applyBorder="1" applyAlignment="1">
      <alignment vertical="center" wrapText="1"/>
    </xf>
    <xf numFmtId="0" fontId="23" fillId="0" borderId="0" xfId="0" applyFont="1" applyFill="1" applyAlignment="1"/>
    <xf numFmtId="165" fontId="23" fillId="39" borderId="0" xfId="1" applyNumberFormat="1" applyFont="1" applyFill="1" applyAlignment="1">
      <alignment vertical="center" wrapText="1"/>
    </xf>
    <xf numFmtId="0" fontId="23" fillId="34" borderId="0" xfId="0" applyFont="1" applyFill="1" applyAlignment="1">
      <alignment vertical="center" wrapText="1"/>
    </xf>
    <xf numFmtId="0" fontId="23" fillId="34" borderId="0" xfId="0" applyFont="1" applyFill="1" applyAlignment="1">
      <alignment vertical="center"/>
    </xf>
    <xf numFmtId="0" fontId="23" fillId="34" borderId="0" xfId="0" applyFont="1" applyFill="1" applyBorder="1" applyAlignment="1">
      <alignment vertical="center" wrapText="1"/>
    </xf>
    <xf numFmtId="0" fontId="21" fillId="0" borderId="0" xfId="0" applyFont="1" applyFill="1" applyAlignment="1"/>
    <xf numFmtId="0" fontId="21" fillId="0" borderId="0" xfId="0" applyFont="1" applyFill="1" applyAlignment="1">
      <alignment horizontal="center"/>
    </xf>
    <xf numFmtId="0" fontId="22" fillId="0" borderId="0" xfId="0" applyFont="1" applyFill="1" applyAlignment="1"/>
    <xf numFmtId="165" fontId="21" fillId="33" borderId="0" xfId="1" applyNumberFormat="1" applyFont="1" applyFill="1"/>
    <xf numFmtId="165" fontId="21" fillId="0" borderId="0" xfId="1" applyNumberFormat="1" applyFont="1" applyFill="1"/>
    <xf numFmtId="165" fontId="18" fillId="0" borderId="0" xfId="0" applyNumberFormat="1" applyFont="1" applyFill="1" applyAlignment="1"/>
    <xf numFmtId="0" fontId="23" fillId="0" borderId="0" xfId="0" applyFont="1"/>
    <xf numFmtId="0" fontId="23" fillId="29" borderId="0" xfId="0" applyFont="1" applyFill="1"/>
    <xf numFmtId="0" fontId="30" fillId="29" borderId="0" xfId="0" applyFont="1" applyFill="1"/>
    <xf numFmtId="164" fontId="24" fillId="0" borderId="0" xfId="51" applyNumberFormat="1" applyFont="1"/>
    <xf numFmtId="164" fontId="27" fillId="0" borderId="0" xfId="51" applyNumberFormat="1" applyFont="1"/>
    <xf numFmtId="0" fontId="27" fillId="0" borderId="0" xfId="0" applyFont="1"/>
    <xf numFmtId="166" fontId="24" fillId="31" borderId="0" xfId="0" applyNumberFormat="1" applyFont="1" applyFill="1" applyBorder="1" applyAlignment="1" applyProtection="1"/>
    <xf numFmtId="0" fontId="24" fillId="31" borderId="0" xfId="0" applyFont="1" applyFill="1"/>
    <xf numFmtId="166" fontId="26" fillId="31" borderId="0" xfId="0" applyNumberFormat="1" applyFont="1" applyFill="1"/>
    <xf numFmtId="0" fontId="27" fillId="0" borderId="0" xfId="0" applyFont="1" applyFill="1"/>
    <xf numFmtId="9" fontId="26" fillId="31" borderId="0" xfId="0" applyNumberFormat="1" applyFont="1" applyFill="1" applyBorder="1" applyAlignment="1" applyProtection="1"/>
    <xf numFmtId="0" fontId="24" fillId="0" borderId="0" xfId="0" applyFont="1" applyFill="1"/>
    <xf numFmtId="9" fontId="26" fillId="0" borderId="0" xfId="51" applyFont="1" applyFill="1" applyBorder="1"/>
    <xf numFmtId="1" fontId="26" fillId="31" borderId="0" xfId="0" applyNumberFormat="1" applyFont="1" applyFill="1" applyBorder="1" applyAlignment="1" applyProtection="1"/>
    <xf numFmtId="166" fontId="26" fillId="31" borderId="0" xfId="0" applyNumberFormat="1" applyFont="1" applyFill="1" applyBorder="1" applyAlignment="1" applyProtection="1"/>
    <xf numFmtId="2" fontId="26" fillId="31" borderId="0" xfId="0" applyNumberFormat="1" applyFont="1" applyFill="1" applyBorder="1" applyAlignment="1" applyProtection="1"/>
    <xf numFmtId="165" fontId="28" fillId="0" borderId="0" xfId="52" applyNumberFormat="1" applyFont="1"/>
    <xf numFmtId="165" fontId="24" fillId="0" borderId="0" xfId="52" applyNumberFormat="1" applyFont="1"/>
    <xf numFmtId="9" fontId="24" fillId="0" borderId="0" xfId="51" applyFont="1"/>
    <xf numFmtId="0" fontId="24" fillId="31" borderId="10" xfId="46"/>
    <xf numFmtId="0" fontId="23" fillId="34" borderId="0" xfId="0" applyFont="1" applyFill="1"/>
    <xf numFmtId="3" fontId="18" fillId="0" borderId="0" xfId="0" applyNumberFormat="1" applyFont="1" applyAlignment="1"/>
    <xf numFmtId="165" fontId="24" fillId="0" borderId="0" xfId="0" applyNumberFormat="1" applyFont="1"/>
    <xf numFmtId="10" fontId="24" fillId="31" borderId="13" xfId="5" quotePrefix="1" applyNumberFormat="1" applyFont="1" applyFill="1" applyBorder="1" applyAlignment="1" applyProtection="1">
      <alignment vertical="center" wrapText="1"/>
    </xf>
    <xf numFmtId="166" fontId="24" fillId="0" borderId="0" xfId="0" applyNumberFormat="1" applyFont="1"/>
    <xf numFmtId="0" fontId="24" fillId="0" borderId="0" xfId="0" applyFont="1"/>
    <xf numFmtId="0" fontId="23" fillId="0" borderId="0" xfId="0" applyFont="1"/>
    <xf numFmtId="0" fontId="27" fillId="0" borderId="0" xfId="0" applyFont="1"/>
    <xf numFmtId="0" fontId="24" fillId="0" borderId="0" xfId="0" applyFont="1" applyBorder="1"/>
    <xf numFmtId="0" fontId="24" fillId="0" borderId="0" xfId="0" applyFont="1" applyBorder="1" applyAlignment="1">
      <alignment vertical="center"/>
    </xf>
    <xf numFmtId="0" fontId="23" fillId="32" borderId="11" xfId="47" applyBorder="1" applyAlignment="1">
      <alignment horizontal="center"/>
    </xf>
    <xf numFmtId="0" fontId="31" fillId="0" borderId="0" xfId="0" applyFont="1" applyFill="1" applyAlignment="1"/>
    <xf numFmtId="0" fontId="32" fillId="0" borderId="0" xfId="0" applyFont="1" applyAlignment="1"/>
    <xf numFmtId="0" fontId="31" fillId="0" borderId="0" xfId="0" applyFont="1" applyAlignment="1"/>
    <xf numFmtId="0" fontId="32" fillId="0" borderId="0" xfId="0" applyFont="1"/>
    <xf numFmtId="0" fontId="33" fillId="29" borderId="0" xfId="0" applyFont="1" applyFill="1" applyAlignment="1"/>
    <xf numFmtId="0" fontId="33" fillId="0" borderId="0" xfId="0" applyFont="1" applyAlignment="1"/>
    <xf numFmtId="3" fontId="28" fillId="34" borderId="0" xfId="49" applyNumberFormat="1" applyFont="1" applyFill="1" applyBorder="1"/>
    <xf numFmtId="164" fontId="18" fillId="0" borderId="0" xfId="5" applyNumberFormat="1" applyFont="1" applyFill="1" applyAlignment="1"/>
    <xf numFmtId="164" fontId="20" fillId="0" borderId="0" xfId="5" applyNumberFormat="1" applyFont="1" applyFill="1" applyAlignment="1"/>
    <xf numFmtId="43" fontId="28" fillId="32" borderId="12" xfId="52" applyFont="1" applyFill="1" applyBorder="1"/>
    <xf numFmtId="0" fontId="23" fillId="0" borderId="0" xfId="0" applyFont="1" applyAlignment="1">
      <alignment horizontal="left"/>
    </xf>
    <xf numFmtId="165" fontId="23" fillId="0" borderId="0" xfId="0" applyNumberFormat="1" applyFont="1"/>
    <xf numFmtId="0" fontId="23" fillId="0" borderId="0" xfId="0" applyFont="1" applyFill="1"/>
    <xf numFmtId="0" fontId="30" fillId="0" borderId="0" xfId="0" applyFont="1" applyFill="1"/>
    <xf numFmtId="3" fontId="24" fillId="32" borderId="12" xfId="49" applyNumberFormat="1" applyFont="1"/>
    <xf numFmtId="9" fontId="24" fillId="32" borderId="12" xfId="49" applyNumberFormat="1" applyFont="1"/>
    <xf numFmtId="0" fontId="24" fillId="32" borderId="12" xfId="49" applyFont="1"/>
    <xf numFmtId="9" fontId="24" fillId="32" borderId="12" xfId="51" applyFont="1" applyFill="1" applyBorder="1"/>
    <xf numFmtId="3" fontId="24" fillId="34" borderId="0" xfId="49" applyNumberFormat="1" applyFont="1" applyFill="1" applyBorder="1"/>
    <xf numFmtId="1" fontId="24" fillId="32" borderId="12" xfId="49" applyNumberFormat="1" applyFont="1"/>
    <xf numFmtId="168" fontId="24" fillId="32" borderId="12" xfId="49" applyNumberFormat="1" applyFont="1"/>
    <xf numFmtId="10" fontId="24" fillId="31" borderId="14" xfId="5" quotePrefix="1" applyNumberFormat="1" applyFont="1" applyFill="1" applyBorder="1" applyAlignment="1" applyProtection="1">
      <alignment vertical="center" wrapText="1"/>
    </xf>
    <xf numFmtId="168" fontId="32" fillId="0" borderId="0" xfId="49" applyNumberFormat="1" applyFont="1" applyFill="1" applyBorder="1"/>
    <xf numFmtId="0" fontId="24" fillId="0" borderId="0" xfId="0" applyFont="1" applyFill="1" applyBorder="1"/>
    <xf numFmtId="43" fontId="28" fillId="0" borderId="0" xfId="52" applyFont="1" applyFill="1" applyBorder="1"/>
    <xf numFmtId="3" fontId="24" fillId="0" borderId="0" xfId="49" applyNumberFormat="1" applyFont="1" applyFill="1" applyBorder="1"/>
    <xf numFmtId="9" fontId="24" fillId="0" borderId="0" xfId="49" applyNumberFormat="1" applyFont="1" applyFill="1" applyBorder="1"/>
    <xf numFmtId="168" fontId="24" fillId="0" borderId="0" xfId="49" applyNumberFormat="1" applyFont="1" applyFill="1" applyBorder="1"/>
    <xf numFmtId="165" fontId="26" fillId="31" borderId="0" xfId="52" applyNumberFormat="1" applyFont="1" applyFill="1"/>
    <xf numFmtId="165" fontId="26" fillId="31" borderId="0" xfId="52" applyNumberFormat="1" applyFont="1" applyFill="1" applyBorder="1" applyAlignment="1" applyProtection="1"/>
    <xf numFmtId="0" fontId="24" fillId="0" borderId="0" xfId="0" applyFont="1" applyBorder="1" applyAlignment="1">
      <alignment horizontal="left" vertical="center" wrapText="1"/>
    </xf>
    <xf numFmtId="49" fontId="24" fillId="31" borderId="0" xfId="5" applyNumberFormat="1" applyFont="1" applyFill="1" applyBorder="1" applyAlignment="1" applyProtection="1">
      <alignment vertical="center" wrapText="1"/>
    </xf>
    <xf numFmtId="9" fontId="28" fillId="31" borderId="0" xfId="49" applyNumberFormat="1" applyFont="1" applyFill="1" applyBorder="1"/>
    <xf numFmtId="0" fontId="24" fillId="0" borderId="0" xfId="0" applyFont="1" applyAlignment="1">
      <alignment horizontal="center"/>
    </xf>
    <xf numFmtId="0" fontId="23" fillId="29" borderId="0" xfId="0" applyFont="1" applyFill="1" applyAlignment="1">
      <alignment horizontal="center"/>
    </xf>
    <xf numFmtId="165" fontId="24" fillId="31" borderId="0" xfId="162" applyNumberFormat="1" applyFont="1" applyFill="1" applyBorder="1" applyAlignment="1" applyProtection="1">
      <alignment horizontal="center"/>
    </xf>
    <xf numFmtId="164" fontId="24" fillId="0" borderId="0" xfId="51" applyNumberFormat="1" applyFont="1" applyAlignment="1">
      <alignment horizontal="center"/>
    </xf>
    <xf numFmtId="0" fontId="0" fillId="0" borderId="0" xfId="0"/>
    <xf numFmtId="0" fontId="24" fillId="0" borderId="0" xfId="0" applyFont="1"/>
    <xf numFmtId="0" fontId="35" fillId="0" borderId="0" xfId="106" applyFont="1" applyBorder="1" applyAlignment="1">
      <alignment horizontal="left"/>
    </xf>
    <xf numFmtId="0" fontId="35" fillId="0" borderId="0" xfId="106" applyFont="1" applyAlignment="1">
      <alignment horizontal="left"/>
    </xf>
    <xf numFmtId="0" fontId="35" fillId="0" borderId="0" xfId="106" applyFont="1" applyFill="1" applyBorder="1" applyAlignment="1">
      <alignment horizontal="left"/>
    </xf>
    <xf numFmtId="0" fontId="37" fillId="0" borderId="0" xfId="106" applyFont="1" applyBorder="1" applyAlignment="1">
      <alignment horizontal="left"/>
    </xf>
    <xf numFmtId="0" fontId="0" fillId="0" borderId="0" xfId="0"/>
    <xf numFmtId="0" fontId="24" fillId="0" borderId="0" xfId="0" applyFont="1"/>
    <xf numFmtId="0" fontId="23" fillId="0" borderId="0" xfId="0" applyFont="1"/>
    <xf numFmtId="166" fontId="24" fillId="31" borderId="0" xfId="0" applyNumberFormat="1" applyFont="1" applyFill="1" applyBorder="1" applyAlignment="1" applyProtection="1"/>
    <xf numFmtId="0" fontId="24" fillId="0" borderId="0" xfId="0" applyFont="1" applyFill="1"/>
    <xf numFmtId="165" fontId="28" fillId="0" borderId="0" xfId="0" applyNumberFormat="1" applyFont="1"/>
    <xf numFmtId="0" fontId="35" fillId="0" borderId="0" xfId="106" applyFont="1"/>
    <xf numFmtId="0" fontId="35" fillId="0" borderId="0" xfId="106" applyFont="1" applyBorder="1" applyAlignment="1">
      <alignment wrapText="1"/>
    </xf>
    <xf numFmtId="0" fontId="36" fillId="0" borderId="0" xfId="106" applyFont="1" applyBorder="1"/>
    <xf numFmtId="0" fontId="36" fillId="0" borderId="0" xfId="106" applyFont="1"/>
    <xf numFmtId="9" fontId="24" fillId="31" borderId="0" xfId="203" applyFont="1" applyFill="1" applyBorder="1" applyAlignment="1" applyProtection="1"/>
    <xf numFmtId="165" fontId="24" fillId="31" borderId="0" xfId="204" applyNumberFormat="1" applyFont="1" applyFill="1" applyBorder="1" applyAlignment="1" applyProtection="1"/>
    <xf numFmtId="0" fontId="0" fillId="0" borderId="0" xfId="0"/>
    <xf numFmtId="0" fontId="24" fillId="0" borderId="0" xfId="0" applyFont="1"/>
    <xf numFmtId="0" fontId="23" fillId="0" borderId="0" xfId="0" applyFont="1"/>
    <xf numFmtId="165" fontId="24" fillId="31" borderId="0" xfId="246" applyNumberFormat="1" applyFont="1" applyFill="1" applyBorder="1" applyAlignment="1" applyProtection="1"/>
    <xf numFmtId="9" fontId="26" fillId="0" borderId="0" xfId="393" applyFont="1" applyFill="1" applyBorder="1"/>
    <xf numFmtId="164" fontId="24" fillId="0" borderId="0" xfId="393" applyNumberFormat="1" applyFont="1" applyAlignment="1">
      <alignment horizontal="right"/>
    </xf>
    <xf numFmtId="0" fontId="24" fillId="0" borderId="0" xfId="0" applyFont="1" applyAlignment="1">
      <alignment horizontal="right"/>
    </xf>
    <xf numFmtId="0" fontId="0" fillId="0" borderId="0" xfId="0"/>
    <xf numFmtId="0" fontId="24" fillId="0" borderId="0" xfId="0" applyFont="1"/>
    <xf numFmtId="0" fontId="23" fillId="0" borderId="0" xfId="0" applyFont="1"/>
    <xf numFmtId="165" fontId="24" fillId="31" borderId="0" xfId="294" applyNumberFormat="1" applyFont="1" applyFill="1" applyBorder="1" applyAlignment="1" applyProtection="1"/>
    <xf numFmtId="0" fontId="23" fillId="29" borderId="0" xfId="0" applyFont="1" applyFill="1" applyAlignment="1">
      <alignment horizontal="right"/>
    </xf>
    <xf numFmtId="165" fontId="28" fillId="0" borderId="0" xfId="565" applyNumberFormat="1" applyFont="1"/>
    <xf numFmtId="9" fontId="24" fillId="0" borderId="0" xfId="393" applyFont="1"/>
    <xf numFmtId="0" fontId="0" fillId="0" borderId="0" xfId="0"/>
    <xf numFmtId="0" fontId="24" fillId="0" borderId="0" xfId="0" applyFont="1"/>
    <xf numFmtId="0" fontId="23" fillId="0" borderId="0" xfId="0" applyFont="1"/>
    <xf numFmtId="0" fontId="27" fillId="0" borderId="0" xfId="0" applyFont="1"/>
    <xf numFmtId="0" fontId="23" fillId="29" borderId="0" xfId="0" applyFont="1" applyFill="1"/>
    <xf numFmtId="0" fontId="30" fillId="29" borderId="0" xfId="0" applyFont="1" applyFill="1"/>
    <xf numFmtId="0" fontId="24" fillId="31" borderId="0" xfId="0" applyFont="1" applyFill="1"/>
    <xf numFmtId="166" fontId="26" fillId="31" borderId="0" xfId="0" applyNumberFormat="1" applyFont="1" applyFill="1"/>
    <xf numFmtId="0" fontId="27" fillId="0" borderId="0" xfId="0" applyFont="1" applyFill="1"/>
    <xf numFmtId="9" fontId="26" fillId="31" borderId="0" xfId="0" applyNumberFormat="1" applyFont="1" applyFill="1" applyBorder="1" applyAlignment="1" applyProtection="1"/>
    <xf numFmtId="0" fontId="24" fillId="0" borderId="0" xfId="0" applyFont="1" applyFill="1"/>
    <xf numFmtId="1" fontId="26" fillId="31" borderId="0" xfId="0" applyNumberFormat="1" applyFont="1" applyFill="1" applyBorder="1" applyAlignment="1" applyProtection="1"/>
    <xf numFmtId="166" fontId="26" fillId="31" borderId="0" xfId="0" applyNumberFormat="1" applyFont="1" applyFill="1" applyBorder="1" applyAlignment="1" applyProtection="1"/>
    <xf numFmtId="2" fontId="26" fillId="31" borderId="0" xfId="0" applyNumberFormat="1" applyFont="1" applyFill="1" applyBorder="1" applyAlignment="1" applyProtection="1"/>
    <xf numFmtId="165" fontId="24" fillId="0" borderId="0" xfId="0" applyNumberFormat="1" applyFont="1"/>
    <xf numFmtId="165" fontId="24" fillId="31" borderId="0" xfId="564" applyNumberFormat="1" applyFont="1" applyFill="1" applyBorder="1" applyAlignment="1" applyProtection="1"/>
    <xf numFmtId="165" fontId="24" fillId="0" borderId="0" xfId="565" applyNumberFormat="1" applyFont="1" applyAlignment="1">
      <alignment horizontal="right"/>
    </xf>
    <xf numFmtId="9" fontId="26" fillId="31" borderId="0" xfId="0" applyNumberFormat="1" applyFont="1" applyFill="1" applyBorder="1" applyAlignment="1" applyProtection="1">
      <alignment horizontal="right"/>
    </xf>
    <xf numFmtId="165" fontId="28" fillId="0" borderId="0" xfId="565" applyNumberFormat="1" applyFont="1" applyAlignment="1">
      <alignment horizontal="right"/>
    </xf>
    <xf numFmtId="43" fontId="24" fillId="0" borderId="0" xfId="565" applyNumberFormat="1" applyFont="1" applyAlignment="1">
      <alignment horizontal="right"/>
    </xf>
    <xf numFmtId="3" fontId="24" fillId="0" borderId="0" xfId="0" applyNumberFormat="1" applyFont="1" applyAlignment="1">
      <alignment horizontal="right"/>
    </xf>
    <xf numFmtId="165" fontId="24" fillId="0" borderId="0" xfId="0" applyNumberFormat="1" applyFont="1" applyAlignment="1">
      <alignment horizontal="right"/>
    </xf>
    <xf numFmtId="0" fontId="24" fillId="0" borderId="0" xfId="0" applyFont="1"/>
    <xf numFmtId="0" fontId="27" fillId="0" borderId="0" xfId="0" applyFont="1"/>
    <xf numFmtId="3" fontId="24" fillId="0" borderId="0" xfId="0" applyNumberFormat="1" applyFont="1"/>
    <xf numFmtId="165" fontId="24" fillId="0" borderId="0" xfId="2869" applyNumberFormat="1" applyFont="1" applyAlignment="1">
      <alignment horizontal="right"/>
    </xf>
    <xf numFmtId="43" fontId="24" fillId="0" borderId="0" xfId="0" applyNumberFormat="1" applyFont="1"/>
    <xf numFmtId="9" fontId="24" fillId="0" borderId="0" xfId="3091" applyFont="1"/>
    <xf numFmtId="9" fontId="24" fillId="0" borderId="0" xfId="0" applyNumberFormat="1" applyFont="1"/>
    <xf numFmtId="0" fontId="0" fillId="0" borderId="0" xfId="0" applyAlignment="1">
      <alignment horizontal="right"/>
    </xf>
    <xf numFmtId="0" fontId="23" fillId="29" borderId="0" xfId="0" applyFont="1" applyFill="1" applyAlignment="1">
      <alignment horizontal="left"/>
    </xf>
    <xf numFmtId="165" fontId="24" fillId="0" borderId="0" xfId="2869" applyNumberFormat="1" applyFont="1"/>
    <xf numFmtId="9" fontId="26" fillId="0" borderId="0" xfId="3091" applyFont="1" applyFill="1" applyBorder="1"/>
    <xf numFmtId="164" fontId="27" fillId="0" borderId="0" xfId="3091" applyNumberFormat="1" applyFont="1"/>
    <xf numFmtId="164" fontId="24" fillId="0" borderId="0" xfId="3091" applyNumberFormat="1" applyFont="1"/>
    <xf numFmtId="2" fontId="24" fillId="31" borderId="0" xfId="3091" applyNumberFormat="1" applyFont="1" applyFill="1"/>
    <xf numFmtId="2" fontId="26" fillId="31" borderId="0" xfId="0" applyNumberFormat="1" applyFont="1" applyFill="1"/>
    <xf numFmtId="2" fontId="24" fillId="0" borderId="0" xfId="0" applyNumberFormat="1" applyFont="1"/>
    <xf numFmtId="43" fontId="27" fillId="0" borderId="0" xfId="2869" applyFont="1"/>
    <xf numFmtId="43" fontId="27" fillId="0" borderId="0" xfId="2869" applyFont="1" applyFill="1"/>
    <xf numFmtId="43" fontId="24" fillId="0" borderId="0" xfId="0" applyNumberFormat="1" applyFont="1" applyAlignment="1">
      <alignment horizontal="right"/>
    </xf>
    <xf numFmtId="43" fontId="24" fillId="0" borderId="0" xfId="2869" applyNumberFormat="1" applyFont="1"/>
    <xf numFmtId="9" fontId="25" fillId="31" borderId="0" xfId="3091" applyFont="1" applyFill="1" applyBorder="1" applyAlignment="1" applyProtection="1"/>
    <xf numFmtId="165" fontId="25" fillId="31" borderId="0" xfId="3091" applyNumberFormat="1" applyFont="1" applyFill="1" applyBorder="1" applyAlignment="1" applyProtection="1"/>
    <xf numFmtId="9" fontId="28" fillId="32" borderId="12" xfId="52" applyNumberFormat="1" applyFont="1" applyFill="1" applyBorder="1"/>
    <xf numFmtId="9" fontId="28" fillId="0" borderId="0" xfId="3091" applyFont="1" applyFill="1" applyBorder="1"/>
    <xf numFmtId="43" fontId="24" fillId="31" borderId="0" xfId="0" applyNumberFormat="1" applyFont="1" applyFill="1"/>
    <xf numFmtId="1" fontId="28" fillId="32" borderId="12" xfId="49" applyNumberFormat="1" applyFont="1" applyFill="1"/>
    <xf numFmtId="9" fontId="28" fillId="32" borderId="12" xfId="49" applyNumberFormat="1" applyFont="1" applyFill="1"/>
    <xf numFmtId="3" fontId="28" fillId="32" borderId="12" xfId="49" applyNumberFormat="1" applyFont="1" applyFill="1"/>
    <xf numFmtId="0" fontId="36" fillId="0" borderId="0" xfId="106" applyFont="1" applyBorder="1" applyAlignment="1">
      <alignment horizontal="left"/>
    </xf>
    <xf numFmtId="165" fontId="24" fillId="31" borderId="0" xfId="204" applyNumberFormat="1" applyFont="1" applyFill="1" applyBorder="1" applyAlignment="1" applyProtection="1">
      <alignment horizontal="right"/>
    </xf>
    <xf numFmtId="9" fontId="24" fillId="31" borderId="0" xfId="203" applyFont="1" applyFill="1" applyBorder="1" applyAlignment="1" applyProtection="1">
      <alignment horizontal="right"/>
    </xf>
    <xf numFmtId="166" fontId="24" fillId="31" borderId="0" xfId="0" applyNumberFormat="1" applyFont="1" applyFill="1" applyBorder="1" applyAlignment="1" applyProtection="1">
      <alignment horizontal="right"/>
    </xf>
    <xf numFmtId="166" fontId="24" fillId="0" borderId="0" xfId="0" applyNumberFormat="1" applyFont="1" applyAlignment="1">
      <alignment horizontal="right"/>
    </xf>
    <xf numFmtId="1" fontId="24" fillId="0" borderId="0" xfId="0" applyNumberFormat="1" applyFont="1" applyAlignment="1">
      <alignment horizontal="right"/>
    </xf>
    <xf numFmtId="165" fontId="24" fillId="31" borderId="0" xfId="162" applyNumberFormat="1" applyFont="1" applyFill="1" applyBorder="1" applyAlignment="1" applyProtection="1">
      <alignment horizontal="right"/>
    </xf>
    <xf numFmtId="165" fontId="24" fillId="31" borderId="0" xfId="246" applyNumberFormat="1" applyFont="1" applyFill="1" applyBorder="1" applyAlignment="1" applyProtection="1">
      <alignment horizontal="right"/>
    </xf>
    <xf numFmtId="165" fontId="24" fillId="0" borderId="0" xfId="246" applyNumberFormat="1" applyFont="1" applyAlignment="1">
      <alignment horizontal="right"/>
    </xf>
    <xf numFmtId="165" fontId="24" fillId="31" borderId="0" xfId="294" applyNumberFormat="1" applyFont="1" applyFill="1" applyBorder="1" applyAlignment="1" applyProtection="1">
      <alignment horizontal="right"/>
    </xf>
    <xf numFmtId="165" fontId="24" fillId="31" borderId="0" xfId="564" applyNumberFormat="1" applyFont="1" applyFill="1" applyBorder="1" applyAlignment="1" applyProtection="1">
      <alignment horizontal="right"/>
    </xf>
    <xf numFmtId="165" fontId="24" fillId="32" borderId="10" xfId="204" applyNumberFormat="1" applyFont="1" applyFill="1" applyBorder="1" applyAlignment="1" applyProtection="1">
      <alignment horizontal="right"/>
    </xf>
    <xf numFmtId="9" fontId="24" fillId="32" borderId="10" xfId="203" applyFont="1" applyFill="1" applyBorder="1" applyAlignment="1" applyProtection="1">
      <alignment horizontal="right"/>
    </xf>
    <xf numFmtId="0" fontId="12" fillId="0" borderId="0" xfId="0" applyFont="1"/>
    <xf numFmtId="0" fontId="0" fillId="0" borderId="0" xfId="0" applyFont="1"/>
    <xf numFmtId="164" fontId="23" fillId="0" borderId="0" xfId="393" applyNumberFormat="1" applyFont="1" applyAlignment="1">
      <alignment horizontal="left"/>
    </xf>
    <xf numFmtId="9" fontId="38" fillId="31" borderId="0" xfId="0" applyNumberFormat="1" applyFont="1" applyFill="1" applyBorder="1" applyAlignment="1" applyProtection="1"/>
    <xf numFmtId="10" fontId="24" fillId="31" borderId="0" xfId="3091" applyNumberFormat="1" applyFont="1" applyFill="1" applyBorder="1" applyAlignment="1" applyProtection="1"/>
    <xf numFmtId="165" fontId="24" fillId="0" borderId="0" xfId="2153" applyNumberFormat="1" applyFont="1" applyAlignment="1"/>
    <xf numFmtId="0" fontId="24" fillId="0" borderId="0" xfId="0" quotePrefix="1" applyFont="1"/>
    <xf numFmtId="165" fontId="24" fillId="0" borderId="0" xfId="0" applyNumberFormat="1" applyFont="1" applyAlignment="1">
      <alignment horizontal="center"/>
    </xf>
    <xf numFmtId="1" fontId="28" fillId="0" borderId="0" xfId="49" applyNumberFormat="1" applyFill="1" applyBorder="1"/>
    <xf numFmtId="43" fontId="24" fillId="0" borderId="0" xfId="2869" applyFont="1" applyFill="1" applyBorder="1" applyAlignment="1">
      <alignment vertical="center" wrapText="1"/>
    </xf>
    <xf numFmtId="9" fontId="26" fillId="31" borderId="0" xfId="3091" applyFont="1" applyFill="1"/>
    <xf numFmtId="164" fontId="24" fillId="0" borderId="0" xfId="3091" applyNumberFormat="1" applyFont="1" applyAlignment="1">
      <alignment horizontal="right"/>
    </xf>
    <xf numFmtId="165" fontId="0" fillId="0" borderId="0" xfId="0" applyNumberFormat="1"/>
    <xf numFmtId="169" fontId="24" fillId="0" borderId="0" xfId="0" applyNumberFormat="1" applyFont="1" applyAlignment="1">
      <alignment horizontal="right"/>
    </xf>
    <xf numFmtId="165" fontId="24" fillId="32" borderId="10" xfId="2869" applyNumberFormat="1" applyFont="1" applyFill="1" applyBorder="1"/>
    <xf numFmtId="0" fontId="24" fillId="0" borderId="9" xfId="0" applyFont="1" applyBorder="1" applyAlignment="1">
      <alignment horizontal="right"/>
    </xf>
    <xf numFmtId="9" fontId="28" fillId="32" borderId="12" xfId="3091" applyFont="1" applyFill="1" applyBorder="1"/>
    <xf numFmtId="3" fontId="24" fillId="31" borderId="17" xfId="5" applyNumberFormat="1" applyFont="1" applyFill="1" applyBorder="1" applyAlignment="1" applyProtection="1">
      <alignment horizontal="left" vertical="center" wrapText="1"/>
    </xf>
    <xf numFmtId="3" fontId="24" fillId="31" borderId="13" xfId="5" applyNumberFormat="1" applyFont="1" applyFill="1" applyBorder="1" applyAlignment="1" applyProtection="1">
      <alignment vertical="center" wrapText="1"/>
    </xf>
    <xf numFmtId="2" fontId="26" fillId="31" borderId="0" xfId="0" applyNumberFormat="1" applyFont="1" applyFill="1" applyBorder="1" applyAlignment="1">
      <alignment vertical="center" wrapText="1"/>
    </xf>
    <xf numFmtId="2" fontId="24" fillId="31" borderId="17" xfId="5" applyNumberFormat="1" applyFont="1" applyFill="1" applyBorder="1" applyAlignment="1" applyProtection="1">
      <alignment horizontal="left" vertical="center" wrapText="1"/>
    </xf>
    <xf numFmtId="2" fontId="24" fillId="31" borderId="14" xfId="5" applyNumberFormat="1" applyFont="1" applyFill="1" applyBorder="1" applyAlignment="1" applyProtection="1">
      <alignment vertical="center" wrapText="1"/>
    </xf>
    <xf numFmtId="1" fontId="24" fillId="0" borderId="0" xfId="0" applyNumberFormat="1" applyFont="1"/>
    <xf numFmtId="9" fontId="24" fillId="0" borderId="0" xfId="3091" applyFont="1" applyFill="1" applyBorder="1"/>
    <xf numFmtId="3" fontId="24" fillId="31" borderId="0" xfId="0" applyNumberFormat="1" applyFont="1" applyFill="1"/>
    <xf numFmtId="168" fontId="24" fillId="0" borderId="0" xfId="0" applyNumberFormat="1" applyFont="1"/>
    <xf numFmtId="0" fontId="28" fillId="32" borderId="12" xfId="49"/>
    <xf numFmtId="0" fontId="24" fillId="31" borderId="0" xfId="0" applyFont="1" applyFill="1" applyBorder="1" applyAlignment="1" applyProtection="1"/>
    <xf numFmtId="0" fontId="28" fillId="32" borderId="12" xfId="49" applyFont="1"/>
    <xf numFmtId="9" fontId="26" fillId="0" borderId="0" xfId="3093" applyFont="1" applyFill="1" applyBorder="1"/>
    <xf numFmtId="164" fontId="27" fillId="0" borderId="0" xfId="3093" applyNumberFormat="1" applyFont="1"/>
    <xf numFmtId="164" fontId="24" fillId="0" borderId="0" xfId="3093" applyNumberFormat="1" applyFont="1"/>
    <xf numFmtId="0" fontId="28" fillId="32" borderId="12" xfId="52" applyNumberFormat="1" applyFont="1" applyFill="1" applyBorder="1"/>
    <xf numFmtId="0" fontId="24" fillId="0" borderId="0" xfId="0" applyFont="1" applyBorder="1" applyAlignment="1">
      <alignment horizontal="right"/>
    </xf>
    <xf numFmtId="165" fontId="24" fillId="0" borderId="0" xfId="0" applyNumberFormat="1" applyFont="1" applyBorder="1" applyAlignment="1">
      <alignment horizontal="right"/>
    </xf>
    <xf numFmtId="164" fontId="24" fillId="0" borderId="0" xfId="0" applyNumberFormat="1" applyFont="1"/>
    <xf numFmtId="166" fontId="24" fillId="0" borderId="9" xfId="0" applyNumberFormat="1" applyFont="1" applyBorder="1" applyAlignment="1">
      <alignment horizontal="right"/>
    </xf>
    <xf numFmtId="0" fontId="24" fillId="31" borderId="0" xfId="0" applyFont="1" applyFill="1" applyBorder="1" applyAlignment="1">
      <alignment horizontal="left" vertical="center" wrapText="1"/>
    </xf>
    <xf numFmtId="9" fontId="28" fillId="31" borderId="0" xfId="51" applyFont="1" applyFill="1" applyBorder="1"/>
    <xf numFmtId="165" fontId="28" fillId="31" borderId="0" xfId="51" applyNumberFormat="1" applyFont="1" applyFill="1" applyBorder="1"/>
    <xf numFmtId="164" fontId="26" fillId="31" borderId="0" xfId="3091" applyNumberFormat="1" applyFont="1" applyFill="1"/>
    <xf numFmtId="165" fontId="26" fillId="31" borderId="0" xfId="2869" applyNumberFormat="1" applyFont="1" applyFill="1"/>
    <xf numFmtId="164" fontId="24" fillId="31" borderId="10" xfId="3091" applyNumberFormat="1" applyFont="1" applyFill="1" applyBorder="1"/>
    <xf numFmtId="169" fontId="24" fillId="0" borderId="9" xfId="2869" applyNumberFormat="1" applyFont="1" applyBorder="1" applyAlignment="1">
      <alignment horizontal="right"/>
    </xf>
    <xf numFmtId="43" fontId="24" fillId="0" borderId="9" xfId="2869" applyFont="1" applyBorder="1" applyAlignment="1">
      <alignment horizontal="right"/>
    </xf>
    <xf numFmtId="10" fontId="24" fillId="0" borderId="9" xfId="3091" applyNumberFormat="1" applyFont="1" applyBorder="1" applyAlignment="1">
      <alignment horizontal="right"/>
    </xf>
    <xf numFmtId="165" fontId="24" fillId="0" borderId="9" xfId="2869" applyNumberFormat="1" applyFont="1" applyBorder="1" applyAlignment="1">
      <alignment horizontal="right"/>
    </xf>
    <xf numFmtId="9" fontId="24" fillId="0" borderId="9" xfId="3091" applyFont="1" applyBorder="1" applyAlignment="1">
      <alignment horizontal="right"/>
    </xf>
    <xf numFmtId="170" fontId="0" fillId="0" borderId="0" xfId="2869" applyNumberFormat="1" applyFont="1"/>
    <xf numFmtId="0" fontId="24" fillId="0" borderId="0" xfId="0" applyFont="1" applyAlignment="1">
      <alignment horizontal="left"/>
    </xf>
    <xf numFmtId="165" fontId="28" fillId="32" borderId="12" xfId="2869" applyNumberFormat="1" applyFont="1" applyFill="1" applyBorder="1"/>
    <xf numFmtId="3" fontId="24" fillId="42" borderId="0" xfId="0" applyNumberFormat="1" applyFont="1" applyFill="1"/>
    <xf numFmtId="165" fontId="24" fillId="42" borderId="0" xfId="0" applyNumberFormat="1" applyFont="1" applyFill="1"/>
    <xf numFmtId="165" fontId="24" fillId="0" borderId="0" xfId="204" applyNumberFormat="1" applyFont="1" applyFill="1" applyBorder="1" applyAlignment="1" applyProtection="1">
      <alignment horizontal="right"/>
    </xf>
    <xf numFmtId="165" fontId="24" fillId="0" borderId="0" xfId="0" applyNumberFormat="1" applyFont="1" applyFill="1" applyBorder="1"/>
    <xf numFmtId="3" fontId="23" fillId="0" borderId="0" xfId="0" applyNumberFormat="1" applyFont="1"/>
    <xf numFmtId="0" fontId="24" fillId="31" borderId="0" xfId="0" applyFont="1" applyFill="1" applyBorder="1"/>
    <xf numFmtId="165" fontId="24" fillId="31" borderId="0" xfId="0" applyNumberFormat="1" applyFont="1" applyFill="1" applyBorder="1"/>
    <xf numFmtId="0" fontId="28" fillId="31" borderId="0" xfId="49" applyFill="1" applyBorder="1"/>
    <xf numFmtId="1" fontId="24" fillId="31" borderId="0" xfId="0" applyNumberFormat="1" applyFont="1" applyFill="1" applyBorder="1"/>
    <xf numFmtId="9" fontId="24" fillId="31" borderId="0" xfId="3091" applyFont="1" applyFill="1" applyBorder="1"/>
    <xf numFmtId="9" fontId="24" fillId="31" borderId="0" xfId="0" applyNumberFormat="1" applyFont="1" applyFill="1" applyBorder="1"/>
    <xf numFmtId="9" fontId="24" fillId="31" borderId="10" xfId="3091" applyFont="1" applyFill="1" applyBorder="1"/>
    <xf numFmtId="165" fontId="24" fillId="31" borderId="10" xfId="2869" applyNumberFormat="1" applyFont="1" applyFill="1" applyBorder="1"/>
    <xf numFmtId="2" fontId="24" fillId="31" borderId="10" xfId="46" applyNumberFormat="1"/>
    <xf numFmtId="2" fontId="28" fillId="32" borderId="12" xfId="52" applyNumberFormat="1" applyFont="1" applyFill="1" applyBorder="1"/>
    <xf numFmtId="0" fontId="28" fillId="0" borderId="0" xfId="52" applyNumberFormat="1" applyFont="1" applyFill="1" applyBorder="1"/>
    <xf numFmtId="165" fontId="24" fillId="32" borderId="12" xfId="49" applyNumberFormat="1" applyFont="1"/>
    <xf numFmtId="0" fontId="0" fillId="31" borderId="0" xfId="0" applyFill="1"/>
    <xf numFmtId="0" fontId="28" fillId="31" borderId="0" xfId="0" applyFont="1" applyFill="1"/>
    <xf numFmtId="0" fontId="28" fillId="31" borderId="0" xfId="0" applyFont="1" applyFill="1" applyAlignment="1">
      <alignment horizontal="left"/>
    </xf>
    <xf numFmtId="0" fontId="23" fillId="31" borderId="0" xfId="0" applyFont="1" applyFill="1"/>
    <xf numFmtId="0" fontId="30" fillId="31" borderId="0" xfId="0" applyFont="1" applyFill="1"/>
    <xf numFmtId="0" fontId="23" fillId="32" borderId="9" xfId="47"/>
    <xf numFmtId="0" fontId="42" fillId="43" borderId="0" xfId="0" applyFont="1" applyFill="1"/>
    <xf numFmtId="0" fontId="40" fillId="43" borderId="0" xfId="0" applyFont="1" applyFill="1" applyAlignment="1">
      <alignment horizontal="right"/>
    </xf>
    <xf numFmtId="0" fontId="41" fillId="43" borderId="0" xfId="0" applyFont="1" applyFill="1" applyAlignment="1">
      <alignment horizontal="right"/>
    </xf>
    <xf numFmtId="0" fontId="42" fillId="43" borderId="9" xfId="0" applyFont="1" applyFill="1" applyBorder="1"/>
    <xf numFmtId="0" fontId="40" fillId="43" borderId="9" xfId="0" applyFont="1" applyFill="1" applyBorder="1" applyAlignment="1">
      <alignment horizontal="right"/>
    </xf>
    <xf numFmtId="0" fontId="24" fillId="0" borderId="9" xfId="0" applyFont="1" applyBorder="1"/>
    <xf numFmtId="6" fontId="24" fillId="0" borderId="9" xfId="0" applyNumberFormat="1" applyFont="1" applyBorder="1" applyAlignment="1">
      <alignment horizontal="right"/>
    </xf>
    <xf numFmtId="0" fontId="41" fillId="43" borderId="9" xfId="0" applyFont="1" applyFill="1" applyBorder="1" applyAlignment="1">
      <alignment horizontal="right"/>
    </xf>
    <xf numFmtId="9" fontId="24" fillId="0" borderId="9" xfId="3091" applyFont="1" applyBorder="1"/>
    <xf numFmtId="9" fontId="24" fillId="0" borderId="9" xfId="0" applyNumberFormat="1" applyFont="1" applyBorder="1" applyAlignment="1">
      <alignment horizontal="right"/>
    </xf>
    <xf numFmtId="43" fontId="24" fillId="0" borderId="9" xfId="2869" applyNumberFormat="1" applyFont="1" applyBorder="1" applyAlignment="1">
      <alignment horizontal="right"/>
    </xf>
    <xf numFmtId="0" fontId="42" fillId="43" borderId="9" xfId="0" applyFont="1" applyFill="1" applyBorder="1" applyAlignment="1">
      <alignment horizontal="right"/>
    </xf>
    <xf numFmtId="0" fontId="42" fillId="43" borderId="9" xfId="0" applyFont="1" applyFill="1" applyBorder="1" applyAlignment="1">
      <alignment horizontal="left"/>
    </xf>
    <xf numFmtId="165" fontId="24" fillId="0" borderId="9" xfId="0" applyNumberFormat="1" applyFont="1" applyBorder="1" applyAlignment="1">
      <alignment horizontal="right"/>
    </xf>
    <xf numFmtId="165" fontId="24" fillId="0" borderId="9" xfId="2869" applyNumberFormat="1" applyFont="1" applyBorder="1"/>
    <xf numFmtId="43" fontId="24" fillId="0" borderId="9" xfId="2869" applyNumberFormat="1" applyFont="1" applyBorder="1"/>
    <xf numFmtId="0" fontId="42" fillId="0" borderId="0" xfId="0" applyFont="1" applyFill="1" applyBorder="1" applyAlignment="1">
      <alignment horizontal="left"/>
    </xf>
    <xf numFmtId="0" fontId="41" fillId="0" borderId="0" xfId="0" applyFont="1" applyFill="1" applyBorder="1" applyAlignment="1">
      <alignment horizontal="right"/>
    </xf>
    <xf numFmtId="165" fontId="24" fillId="0" borderId="0" xfId="0" applyNumberFormat="1" applyFont="1" applyFill="1" applyBorder="1" applyAlignment="1">
      <alignment horizontal="right"/>
    </xf>
    <xf numFmtId="165" fontId="24" fillId="41" borderId="9" xfId="2869" applyNumberFormat="1" applyFont="1" applyFill="1" applyBorder="1" applyAlignment="1">
      <alignment horizontal="right"/>
    </xf>
    <xf numFmtId="0" fontId="23" fillId="41" borderId="0" xfId="0" applyFont="1" applyFill="1"/>
    <xf numFmtId="0" fontId="41" fillId="43" borderId="0" xfId="0" applyFont="1" applyFill="1" applyBorder="1"/>
    <xf numFmtId="0" fontId="28" fillId="43" borderId="0" xfId="0" applyFont="1" applyFill="1" applyBorder="1"/>
    <xf numFmtId="0" fontId="30" fillId="0" borderId="0" xfId="0" applyFont="1"/>
    <xf numFmtId="49" fontId="15" fillId="0" borderId="0" xfId="0" applyNumberFormat="1" applyFont="1" applyAlignment="1">
      <alignment horizontal="left"/>
    </xf>
    <xf numFmtId="9" fontId="24" fillId="0" borderId="0" xfId="3093" applyFont="1"/>
    <xf numFmtId="165" fontId="24" fillId="0" borderId="0" xfId="3094" applyNumberFormat="1" applyFont="1"/>
    <xf numFmtId="165" fontId="28" fillId="0" borderId="0" xfId="3094" applyNumberFormat="1" applyFont="1"/>
    <xf numFmtId="10" fontId="24" fillId="31" borderId="0" xfId="3093" applyNumberFormat="1" applyFont="1" applyFill="1" applyBorder="1" applyAlignment="1" applyProtection="1"/>
    <xf numFmtId="166" fontId="23" fillId="0" borderId="0" xfId="0" applyNumberFormat="1" applyFont="1" applyFill="1" applyAlignment="1">
      <alignment horizontal="right"/>
    </xf>
    <xf numFmtId="167" fontId="23" fillId="0" borderId="0" xfId="0" applyNumberFormat="1" applyFont="1" applyFill="1" applyAlignment="1">
      <alignment horizontal="right"/>
    </xf>
    <xf numFmtId="10" fontId="24" fillId="31" borderId="17" xfId="5" applyNumberFormat="1" applyFont="1" applyFill="1" applyBorder="1" applyAlignment="1" applyProtection="1">
      <alignment horizontal="left" vertical="center" wrapText="1"/>
    </xf>
    <xf numFmtId="165" fontId="41" fillId="44" borderId="0" xfId="565" applyNumberFormat="1" applyFont="1" applyFill="1" applyAlignment="1">
      <alignment horizontal="right"/>
    </xf>
    <xf numFmtId="2" fontId="23" fillId="40" borderId="0" xfId="1" applyNumberFormat="1" applyFont="1" applyFill="1" applyBorder="1" applyAlignment="1">
      <alignment horizontal="center" vertical="center" wrapText="1"/>
    </xf>
    <xf numFmtId="9" fontId="24" fillId="32" borderId="10" xfId="3091" applyFont="1" applyFill="1" applyBorder="1"/>
    <xf numFmtId="165" fontId="41" fillId="0" borderId="0" xfId="565" applyNumberFormat="1" applyFont="1" applyFill="1" applyAlignment="1">
      <alignment horizontal="right"/>
    </xf>
    <xf numFmtId="10" fontId="24" fillId="31" borderId="17" xfId="5" applyNumberFormat="1" applyFont="1" applyFill="1" applyBorder="1" applyAlignment="1" applyProtection="1">
      <alignment horizontal="left" vertical="center" wrapText="1"/>
    </xf>
    <xf numFmtId="0" fontId="23" fillId="45" borderId="0" xfId="0" applyFont="1" applyFill="1"/>
    <xf numFmtId="0" fontId="23" fillId="45" borderId="0" xfId="0" applyFont="1" applyFill="1" applyAlignment="1">
      <alignment horizontal="right"/>
    </xf>
    <xf numFmtId="0" fontId="23" fillId="0" borderId="0" xfId="0" applyFont="1" applyFill="1" applyBorder="1"/>
    <xf numFmtId="166" fontId="24" fillId="0" borderId="0" xfId="0" applyNumberFormat="1" applyFont="1" applyBorder="1" applyAlignment="1">
      <alignment horizontal="right"/>
    </xf>
    <xf numFmtId="0" fontId="23" fillId="0" borderId="0" xfId="0" applyFont="1" applyFill="1" applyAlignment="1">
      <alignment horizontal="right"/>
    </xf>
    <xf numFmtId="0" fontId="28" fillId="32" borderId="12" xfId="49" applyFont="1" applyFill="1"/>
    <xf numFmtId="3" fontId="24" fillId="32" borderId="12" xfId="49" applyNumberFormat="1" applyFont="1" applyFill="1"/>
    <xf numFmtId="9" fontId="24" fillId="32" borderId="12" xfId="49" applyNumberFormat="1" applyFont="1" applyFill="1"/>
    <xf numFmtId="0" fontId="24" fillId="32" borderId="12" xfId="49" applyFont="1" applyFill="1"/>
    <xf numFmtId="1" fontId="24" fillId="32" borderId="12" xfId="49" applyNumberFormat="1" applyFont="1" applyFill="1"/>
    <xf numFmtId="9" fontId="24" fillId="32" borderId="12" xfId="3091" applyFont="1" applyFill="1" applyBorder="1"/>
    <xf numFmtId="165" fontId="23" fillId="0" borderId="0" xfId="565" applyNumberFormat="1" applyFont="1" applyFill="1" applyAlignment="1">
      <alignment horizontal="left"/>
    </xf>
    <xf numFmtId="165" fontId="24" fillId="0" borderId="9" xfId="2869" applyNumberFormat="1" applyFont="1" applyFill="1" applyBorder="1" applyAlignment="1">
      <alignment horizontal="right"/>
    </xf>
    <xf numFmtId="9" fontId="28" fillId="41" borderId="0" xfId="0" applyNumberFormat="1" applyFont="1" applyFill="1"/>
    <xf numFmtId="169" fontId="24" fillId="41" borderId="0" xfId="2869" applyNumberFormat="1" applyFont="1" applyFill="1"/>
    <xf numFmtId="169" fontId="24" fillId="0" borderId="0" xfId="2869" applyNumberFormat="1" applyFont="1"/>
    <xf numFmtId="0" fontId="24" fillId="41" borderId="0" xfId="0" applyFont="1" applyFill="1"/>
    <xf numFmtId="0" fontId="41" fillId="43" borderId="19" xfId="0" applyFont="1" applyFill="1" applyBorder="1"/>
    <xf numFmtId="0" fontId="23" fillId="31" borderId="0" xfId="0" applyFont="1" applyFill="1" applyBorder="1"/>
    <xf numFmtId="166" fontId="24" fillId="31" borderId="0" xfId="0" applyNumberFormat="1" applyFont="1" applyFill="1" applyBorder="1"/>
    <xf numFmtId="165" fontId="24" fillId="46" borderId="10" xfId="2869" applyNumberFormat="1" applyFont="1" applyFill="1" applyBorder="1"/>
    <xf numFmtId="43" fontId="24" fillId="46" borderId="10" xfId="2869" applyNumberFormat="1" applyFont="1" applyFill="1" applyBorder="1"/>
    <xf numFmtId="0" fontId="24" fillId="46" borderId="10" xfId="2869" applyNumberFormat="1" applyFont="1" applyFill="1" applyBorder="1"/>
    <xf numFmtId="10" fontId="25" fillId="31" borderId="17" xfId="5" applyNumberFormat="1" applyFont="1" applyFill="1" applyBorder="1" applyAlignment="1" applyProtection="1">
      <alignment horizontal="left" vertical="center" wrapText="1"/>
    </xf>
    <xf numFmtId="10" fontId="25" fillId="31" borderId="13" xfId="5" applyNumberFormat="1" applyFont="1" applyFill="1" applyBorder="1" applyAlignment="1" applyProtection="1">
      <alignment vertical="center" wrapText="1"/>
    </xf>
    <xf numFmtId="9" fontId="24" fillId="46" borderId="10" xfId="3091" applyFont="1" applyFill="1" applyBorder="1"/>
    <xf numFmtId="0" fontId="1" fillId="0" borderId="0" xfId="0" applyFont="1" applyAlignment="1">
      <alignment vertical="center"/>
    </xf>
    <xf numFmtId="0" fontId="1" fillId="0" borderId="0" xfId="0" applyFont="1" applyAlignment="1">
      <alignment vertical="center" wrapText="1"/>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0" fillId="0" borderId="0" xfId="0" applyAlignment="1">
      <alignment wrapText="1"/>
    </xf>
    <xf numFmtId="0" fontId="0" fillId="31" borderId="0" xfId="0" applyFill="1" applyAlignment="1">
      <alignment horizontal="left" vertical="top" wrapText="1"/>
    </xf>
    <xf numFmtId="0" fontId="0" fillId="31" borderId="0" xfId="0" applyFont="1" applyFill="1" applyAlignment="1">
      <alignment horizontal="left" vertical="top" wrapText="1"/>
    </xf>
    <xf numFmtId="49" fontId="24" fillId="31" borderId="15" xfId="5" applyNumberFormat="1" applyFont="1" applyFill="1" applyBorder="1" applyAlignment="1" applyProtection="1">
      <alignment horizontal="left" vertical="center" wrapText="1"/>
    </xf>
    <xf numFmtId="49" fontId="24" fillId="31" borderId="16" xfId="5" applyNumberFormat="1" applyFont="1" applyFill="1" applyBorder="1" applyAlignment="1" applyProtection="1">
      <alignment horizontal="left" vertical="center" wrapText="1"/>
    </xf>
    <xf numFmtId="49" fontId="24" fillId="31" borderId="17" xfId="5" applyNumberFormat="1" applyFont="1" applyFill="1" applyBorder="1" applyAlignment="1" applyProtection="1">
      <alignment horizontal="left" vertical="center" wrapText="1"/>
    </xf>
    <xf numFmtId="10" fontId="24" fillId="31" borderId="15" xfId="5" quotePrefix="1" applyNumberFormat="1" applyFont="1" applyFill="1" applyBorder="1" applyAlignment="1" applyProtection="1">
      <alignment horizontal="left" vertical="center" wrapText="1"/>
    </xf>
    <xf numFmtId="10" fontId="24" fillId="31" borderId="16" xfId="5" applyNumberFormat="1" applyFont="1" applyFill="1" applyBorder="1" applyAlignment="1" applyProtection="1">
      <alignment horizontal="left" vertical="center" wrapText="1"/>
    </xf>
    <xf numFmtId="10" fontId="24" fillId="31" borderId="17" xfId="5" applyNumberFormat="1" applyFont="1" applyFill="1" applyBorder="1" applyAlignment="1" applyProtection="1">
      <alignment horizontal="left" vertical="center" wrapText="1"/>
    </xf>
    <xf numFmtId="49" fontId="24" fillId="0" borderId="13" xfId="0" applyNumberFormat="1" applyFont="1" applyBorder="1" applyAlignment="1">
      <alignment horizontal="left" vertical="center" wrapText="1"/>
    </xf>
    <xf numFmtId="0" fontId="24" fillId="0" borderId="13" xfId="0" applyFont="1" applyBorder="1" applyAlignment="1">
      <alignment horizontal="left" vertical="center" wrapText="1"/>
    </xf>
    <xf numFmtId="49" fontId="24" fillId="31" borderId="15" xfId="5" quotePrefix="1" applyNumberFormat="1" applyFont="1" applyFill="1" applyBorder="1" applyAlignment="1" applyProtection="1">
      <alignment horizontal="left" vertical="center" wrapText="1"/>
    </xf>
    <xf numFmtId="10" fontId="24" fillId="31" borderId="15" xfId="5" applyNumberFormat="1" applyFont="1" applyFill="1" applyBorder="1" applyAlignment="1" applyProtection="1">
      <alignment horizontal="left" vertical="center" wrapText="1"/>
    </xf>
    <xf numFmtId="9" fontId="26" fillId="31" borderId="13" xfId="0" applyNumberFormat="1" applyFont="1" applyFill="1" applyBorder="1" applyAlignment="1" applyProtection="1">
      <alignment horizontal="left" vertical="center" wrapText="1"/>
    </xf>
    <xf numFmtId="9" fontId="26" fillId="31" borderId="15" xfId="0" applyNumberFormat="1" applyFont="1" applyFill="1" applyBorder="1" applyAlignment="1" applyProtection="1">
      <alignment horizontal="left" vertical="center" wrapText="1"/>
    </xf>
    <xf numFmtId="9" fontId="26" fillId="31" borderId="16" xfId="0" applyNumberFormat="1" applyFont="1" applyFill="1" applyBorder="1" applyAlignment="1" applyProtection="1">
      <alignment horizontal="left" vertical="center" wrapText="1"/>
    </xf>
    <xf numFmtId="9" fontId="26" fillId="31" borderId="17" xfId="0" applyNumberFormat="1" applyFont="1" applyFill="1" applyBorder="1" applyAlignment="1" applyProtection="1">
      <alignment horizontal="left" vertical="center" wrapText="1"/>
    </xf>
    <xf numFmtId="49" fontId="24" fillId="0" borderId="13" xfId="0" quotePrefix="1" applyNumberFormat="1" applyFont="1" applyBorder="1" applyAlignment="1">
      <alignment horizontal="left" vertical="center" wrapText="1"/>
    </xf>
    <xf numFmtId="49" fontId="24" fillId="31" borderId="15" xfId="5" applyNumberFormat="1" applyFont="1" applyFill="1" applyBorder="1" applyAlignment="1" applyProtection="1">
      <alignment horizontal="center" vertical="center" wrapText="1"/>
    </xf>
    <xf numFmtId="49" fontId="24" fillId="31" borderId="16" xfId="5" applyNumberFormat="1" applyFont="1" applyFill="1" applyBorder="1" applyAlignment="1" applyProtection="1">
      <alignment horizontal="center" vertical="center" wrapText="1"/>
    </xf>
    <xf numFmtId="49" fontId="24" fillId="31" borderId="17" xfId="5" applyNumberFormat="1" applyFont="1" applyFill="1" applyBorder="1" applyAlignment="1" applyProtection="1">
      <alignment horizontal="center" vertical="center" wrapText="1"/>
    </xf>
    <xf numFmtId="49" fontId="24" fillId="0" borderId="15" xfId="0" applyNumberFormat="1" applyFont="1" applyBorder="1" applyAlignment="1">
      <alignment horizontal="left" vertical="center" wrapText="1"/>
    </xf>
    <xf numFmtId="49" fontId="24" fillId="0" borderId="16" xfId="0" applyNumberFormat="1" applyFont="1" applyBorder="1" applyAlignment="1">
      <alignment horizontal="left" vertical="center" wrapText="1"/>
    </xf>
    <xf numFmtId="49" fontId="24" fillId="0" borderId="17" xfId="0" applyNumberFormat="1" applyFont="1" applyBorder="1" applyAlignment="1">
      <alignment horizontal="left" vertical="center" wrapTex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cellXfs>
  <cellStyles count="3096">
    <cellStyle name="20% - Accent1" xfId="20" builtinId="30" hidden="1"/>
    <cellStyle name="20% - Accent1" xfId="74" builtinId="30" hidden="1"/>
    <cellStyle name="20% - Accent1" xfId="129" builtinId="30" hidden="1"/>
    <cellStyle name="20% - Accent1" xfId="173" builtinId="30" hidden="1"/>
    <cellStyle name="20% - Accent1" xfId="218" builtinId="30" hidden="1"/>
    <cellStyle name="20% - Accent1" xfId="263" builtinId="30" hidden="1"/>
    <cellStyle name="20% - Accent1" xfId="313" builtinId="30" hidden="1"/>
    <cellStyle name="20% - Accent1" xfId="367" builtinId="30" hidden="1"/>
    <cellStyle name="20% - Accent1" xfId="415" builtinId="30" hidden="1"/>
    <cellStyle name="20% - Accent1" xfId="458" builtinId="30" hidden="1"/>
    <cellStyle name="20% - Accent1" xfId="502" builtinId="30" hidden="1"/>
    <cellStyle name="20% - Accent1" xfId="538" builtinId="30" hidden="1"/>
    <cellStyle name="20% - Accent1" xfId="582" builtinId="30" hidden="1"/>
    <cellStyle name="20% - Accent1" xfId="629" builtinId="30" hidden="1"/>
    <cellStyle name="20% - Accent1" xfId="675" builtinId="30" hidden="1"/>
    <cellStyle name="20% - Accent1" xfId="718" builtinId="30" hidden="1"/>
    <cellStyle name="20% - Accent1" xfId="762" builtinId="30" hidden="1"/>
    <cellStyle name="20% - Accent1" xfId="805" builtinId="30" hidden="1"/>
    <cellStyle name="20% - Accent1" xfId="847" builtinId="30" hidden="1"/>
    <cellStyle name="20% - Accent1" xfId="899" builtinId="30" hidden="1"/>
    <cellStyle name="20% - Accent1" xfId="945" builtinId="30" hidden="1"/>
    <cellStyle name="20% - Accent1" xfId="989" builtinId="30" hidden="1"/>
    <cellStyle name="20% - Accent1" xfId="1034" builtinId="30" hidden="1"/>
    <cellStyle name="20% - Accent1" xfId="1079" builtinId="30" hidden="1"/>
    <cellStyle name="20% - Accent1" xfId="1129" builtinId="30" hidden="1"/>
    <cellStyle name="20% - Accent1" xfId="1177" builtinId="30" hidden="1"/>
    <cellStyle name="20% - Accent1" xfId="1224" builtinId="30" hidden="1"/>
    <cellStyle name="20% - Accent1" xfId="1267" builtinId="30" hidden="1"/>
    <cellStyle name="20% - Accent1" xfId="1311" builtinId="30" hidden="1"/>
    <cellStyle name="20% - Accent1" xfId="1347" builtinId="30" hidden="1"/>
    <cellStyle name="20% - Accent1" xfId="1391" builtinId="30" hidden="1"/>
    <cellStyle name="20% - Accent1" xfId="1438" builtinId="30" hidden="1"/>
    <cellStyle name="20% - Accent1" xfId="1484" builtinId="30" hidden="1"/>
    <cellStyle name="20% - Accent1" xfId="1527" builtinId="30" hidden="1"/>
    <cellStyle name="20% - Accent1" xfId="1571" builtinId="30" hidden="1"/>
    <cellStyle name="20% - Accent1" xfId="1609" builtinId="30" hidden="1"/>
    <cellStyle name="20% - Accent1" xfId="1663" builtinId="30" hidden="1"/>
    <cellStyle name="20% - Accent1" xfId="1718" builtinId="30" hidden="1"/>
    <cellStyle name="20% - Accent1" xfId="1762" builtinId="30" hidden="1"/>
    <cellStyle name="20% - Accent1" xfId="1807" builtinId="30" hidden="1"/>
    <cellStyle name="20% - Accent1" xfId="1852" builtinId="30" hidden="1"/>
    <cellStyle name="20% - Accent1" xfId="1902" builtinId="30" hidden="1"/>
    <cellStyle name="20% - Accent1" xfId="1956" builtinId="30" hidden="1"/>
    <cellStyle name="20% - Accent1" xfId="2003" builtinId="30" hidden="1"/>
    <cellStyle name="20% - Accent1" xfId="2046" builtinId="30" hidden="1"/>
    <cellStyle name="20% - Accent1" xfId="2090" builtinId="30" hidden="1"/>
    <cellStyle name="20% - Accent1" xfId="2126" builtinId="30" hidden="1"/>
    <cellStyle name="20% - Accent1" xfId="2170" builtinId="30" hidden="1"/>
    <cellStyle name="20% - Accent1" xfId="2217" builtinId="30" hidden="1"/>
    <cellStyle name="20% - Accent1" xfId="2263" builtinId="30" hidden="1"/>
    <cellStyle name="20% - Accent1" xfId="2306" builtinId="30" hidden="1"/>
    <cellStyle name="20% - Accent1" xfId="2350" builtinId="30" hidden="1"/>
    <cellStyle name="20% - Accent1" xfId="1638" builtinId="30" hidden="1"/>
    <cellStyle name="20% - Accent1" xfId="2398" builtinId="30" hidden="1"/>
    <cellStyle name="20% - Accent1" xfId="2443" builtinId="30" hidden="1"/>
    <cellStyle name="20% - Accent1" xfId="2487" builtinId="30" hidden="1"/>
    <cellStyle name="20% - Accent1" xfId="2532" builtinId="30" hidden="1"/>
    <cellStyle name="20% - Accent1" xfId="2577" builtinId="30" hidden="1"/>
    <cellStyle name="20% - Accent1" xfId="2626" builtinId="30" hidden="1"/>
    <cellStyle name="20% - Accent1" xfId="2673" builtinId="30" hidden="1"/>
    <cellStyle name="20% - Accent1" xfId="2719" builtinId="30" hidden="1"/>
    <cellStyle name="20% - Accent1" xfId="2762" builtinId="30" hidden="1"/>
    <cellStyle name="20% - Accent1" xfId="2806" builtinId="30" hidden="1"/>
    <cellStyle name="20% - Accent1" xfId="2842" builtinId="30" hidden="1"/>
    <cellStyle name="20% - Accent1" xfId="2886" builtinId="30" hidden="1"/>
    <cellStyle name="20% - Accent1" xfId="2933" builtinId="30" hidden="1"/>
    <cellStyle name="20% - Accent1" xfId="2979" builtinId="30" hidden="1"/>
    <cellStyle name="20% - Accent1" xfId="3022" builtinId="30" hidden="1"/>
    <cellStyle name="20% - Accent1" xfId="3066" builtinId="30" hidden="1"/>
    <cellStyle name="20% - Accent2" xfId="24" builtinId="34" hidden="1"/>
    <cellStyle name="20% - Accent2" xfId="78" builtinId="34" hidden="1"/>
    <cellStyle name="20% - Accent2" xfId="133" builtinId="34" hidden="1"/>
    <cellStyle name="20% - Accent2" xfId="177" builtinId="34" hidden="1"/>
    <cellStyle name="20% - Accent2" xfId="222" builtinId="34" hidden="1"/>
    <cellStyle name="20% - Accent2" xfId="267" builtinId="34" hidden="1"/>
    <cellStyle name="20% - Accent2" xfId="317" builtinId="34" hidden="1"/>
    <cellStyle name="20% - Accent2" xfId="371" builtinId="34" hidden="1"/>
    <cellStyle name="20% - Accent2" xfId="419" builtinId="34" hidden="1"/>
    <cellStyle name="20% - Accent2" xfId="462" builtinId="34" hidden="1"/>
    <cellStyle name="20% - Accent2" xfId="506" builtinId="34" hidden="1"/>
    <cellStyle name="20% - Accent2" xfId="542" builtinId="34" hidden="1"/>
    <cellStyle name="20% - Accent2" xfId="586" builtinId="34" hidden="1"/>
    <cellStyle name="20% - Accent2" xfId="633" builtinId="34" hidden="1"/>
    <cellStyle name="20% - Accent2" xfId="679" builtinId="34" hidden="1"/>
    <cellStyle name="20% - Accent2" xfId="722" builtinId="34" hidden="1"/>
    <cellStyle name="20% - Accent2" xfId="766" builtinId="34" hidden="1"/>
    <cellStyle name="20% - Accent2" xfId="809" builtinId="34" hidden="1"/>
    <cellStyle name="20% - Accent2" xfId="851" builtinId="34" hidden="1"/>
    <cellStyle name="20% - Accent2" xfId="903" builtinId="34" hidden="1"/>
    <cellStyle name="20% - Accent2" xfId="949" builtinId="34" hidden="1"/>
    <cellStyle name="20% - Accent2" xfId="993" builtinId="34" hidden="1"/>
    <cellStyle name="20% - Accent2" xfId="1038" builtinId="34" hidden="1"/>
    <cellStyle name="20% - Accent2" xfId="1083" builtinId="34" hidden="1"/>
    <cellStyle name="20% - Accent2" xfId="1133" builtinId="34" hidden="1"/>
    <cellStyle name="20% - Accent2" xfId="1181" builtinId="34" hidden="1"/>
    <cellStyle name="20% - Accent2" xfId="1228" builtinId="34" hidden="1"/>
    <cellStyle name="20% - Accent2" xfId="1271" builtinId="34" hidden="1"/>
    <cellStyle name="20% - Accent2" xfId="1315" builtinId="34" hidden="1"/>
    <cellStyle name="20% - Accent2" xfId="1351" builtinId="34" hidden="1"/>
    <cellStyle name="20% - Accent2" xfId="1395" builtinId="34" hidden="1"/>
    <cellStyle name="20% - Accent2" xfId="1442" builtinId="34" hidden="1"/>
    <cellStyle name="20% - Accent2" xfId="1488" builtinId="34" hidden="1"/>
    <cellStyle name="20% - Accent2" xfId="1531" builtinId="34" hidden="1"/>
    <cellStyle name="20% - Accent2" xfId="1575" builtinId="34" hidden="1"/>
    <cellStyle name="20% - Accent2" xfId="1613" builtinId="34" hidden="1"/>
    <cellStyle name="20% - Accent2" xfId="1667" builtinId="34" hidden="1"/>
    <cellStyle name="20% - Accent2" xfId="1722" builtinId="34" hidden="1"/>
    <cellStyle name="20% - Accent2" xfId="1766" builtinId="34" hidden="1"/>
    <cellStyle name="20% - Accent2" xfId="1811" builtinId="34" hidden="1"/>
    <cellStyle name="20% - Accent2" xfId="1856" builtinId="34" hidden="1"/>
    <cellStyle name="20% - Accent2" xfId="1906" builtinId="34" hidden="1"/>
    <cellStyle name="20% - Accent2" xfId="1960" builtinId="34" hidden="1"/>
    <cellStyle name="20% - Accent2" xfId="2007" builtinId="34" hidden="1"/>
    <cellStyle name="20% - Accent2" xfId="2050" builtinId="34" hidden="1"/>
    <cellStyle name="20% - Accent2" xfId="2094" builtinId="34" hidden="1"/>
    <cellStyle name="20% - Accent2" xfId="2130" builtinId="34" hidden="1"/>
    <cellStyle name="20% - Accent2" xfId="2174" builtinId="34" hidden="1"/>
    <cellStyle name="20% - Accent2" xfId="2221" builtinId="34" hidden="1"/>
    <cellStyle name="20% - Accent2" xfId="2267" builtinId="34" hidden="1"/>
    <cellStyle name="20% - Accent2" xfId="2310" builtinId="34" hidden="1"/>
    <cellStyle name="20% - Accent2" xfId="2354" builtinId="34" hidden="1"/>
    <cellStyle name="20% - Accent2" xfId="1938" builtinId="34" hidden="1"/>
    <cellStyle name="20% - Accent2" xfId="2402" builtinId="34" hidden="1"/>
    <cellStyle name="20% - Accent2" xfId="2447" builtinId="34" hidden="1"/>
    <cellStyle name="20% - Accent2" xfId="2491" builtinId="34" hidden="1"/>
    <cellStyle name="20% - Accent2" xfId="2536" builtinId="34" hidden="1"/>
    <cellStyle name="20% - Accent2" xfId="2581" builtinId="34" hidden="1"/>
    <cellStyle name="20% - Accent2" xfId="2630" builtinId="34" hidden="1"/>
    <cellStyle name="20% - Accent2" xfId="2677" builtinId="34" hidden="1"/>
    <cellStyle name="20% - Accent2" xfId="2723" builtinId="34" hidden="1"/>
    <cellStyle name="20% - Accent2" xfId="2766" builtinId="34" hidden="1"/>
    <cellStyle name="20% - Accent2" xfId="2810" builtinId="34" hidden="1"/>
    <cellStyle name="20% - Accent2" xfId="2846" builtinId="34" hidden="1"/>
    <cellStyle name="20% - Accent2" xfId="2890" builtinId="34" hidden="1"/>
    <cellStyle name="20% - Accent2" xfId="2937" builtinId="34" hidden="1"/>
    <cellStyle name="20% - Accent2" xfId="2983" builtinId="34" hidden="1"/>
    <cellStyle name="20% - Accent2" xfId="3026" builtinId="34" hidden="1"/>
    <cellStyle name="20% - Accent2" xfId="3070" builtinId="34" hidden="1"/>
    <cellStyle name="20% - Accent3" xfId="28" builtinId="38" hidden="1"/>
    <cellStyle name="20% - Accent3" xfId="82" builtinId="38" hidden="1"/>
    <cellStyle name="20% - Accent3" xfId="137" builtinId="38" hidden="1"/>
    <cellStyle name="20% - Accent3" xfId="181" builtinId="38" hidden="1"/>
    <cellStyle name="20% - Accent3" xfId="226" builtinId="38" hidden="1"/>
    <cellStyle name="20% - Accent3" xfId="271" builtinId="38" hidden="1"/>
    <cellStyle name="20% - Accent3" xfId="321" builtinId="38" hidden="1"/>
    <cellStyle name="20% - Accent3" xfId="375" builtinId="38" hidden="1"/>
    <cellStyle name="20% - Accent3" xfId="423" builtinId="38" hidden="1"/>
    <cellStyle name="20% - Accent3" xfId="466" builtinId="38" hidden="1"/>
    <cellStyle name="20% - Accent3" xfId="510" builtinId="38" hidden="1"/>
    <cellStyle name="20% - Accent3" xfId="546" builtinId="38" hidden="1"/>
    <cellStyle name="20% - Accent3" xfId="590" builtinId="38" hidden="1"/>
    <cellStyle name="20% - Accent3" xfId="637" builtinId="38" hidden="1"/>
    <cellStyle name="20% - Accent3" xfId="683" builtinId="38" hidden="1"/>
    <cellStyle name="20% - Accent3" xfId="726" builtinId="38" hidden="1"/>
    <cellStyle name="20% - Accent3" xfId="770" builtinId="38" hidden="1"/>
    <cellStyle name="20% - Accent3" xfId="813" builtinId="38" hidden="1"/>
    <cellStyle name="20% - Accent3" xfId="855" builtinId="38" hidden="1"/>
    <cellStyle name="20% - Accent3" xfId="907" builtinId="38" hidden="1"/>
    <cellStyle name="20% - Accent3" xfId="953" builtinId="38" hidden="1"/>
    <cellStyle name="20% - Accent3" xfId="997" builtinId="38" hidden="1"/>
    <cellStyle name="20% - Accent3" xfId="1042" builtinId="38" hidden="1"/>
    <cellStyle name="20% - Accent3" xfId="1087" builtinId="38" hidden="1"/>
    <cellStyle name="20% - Accent3" xfId="1137" builtinId="38" hidden="1"/>
    <cellStyle name="20% - Accent3" xfId="1185" builtinId="38" hidden="1"/>
    <cellStyle name="20% - Accent3" xfId="1232" builtinId="38" hidden="1"/>
    <cellStyle name="20% - Accent3" xfId="1275" builtinId="38" hidden="1"/>
    <cellStyle name="20% - Accent3" xfId="1319" builtinId="38" hidden="1"/>
    <cellStyle name="20% - Accent3" xfId="1355" builtinId="38" hidden="1"/>
    <cellStyle name="20% - Accent3" xfId="1399" builtinId="38" hidden="1"/>
    <cellStyle name="20% - Accent3" xfId="1446" builtinId="38" hidden="1"/>
    <cellStyle name="20% - Accent3" xfId="1492" builtinId="38" hidden="1"/>
    <cellStyle name="20% - Accent3" xfId="1535" builtinId="38" hidden="1"/>
    <cellStyle name="20% - Accent3" xfId="1579" builtinId="38" hidden="1"/>
    <cellStyle name="20% - Accent3" xfId="1617" builtinId="38" hidden="1"/>
    <cellStyle name="20% - Accent3" xfId="1671" builtinId="38" hidden="1"/>
    <cellStyle name="20% - Accent3" xfId="1726" builtinId="38" hidden="1"/>
    <cellStyle name="20% - Accent3" xfId="1770" builtinId="38" hidden="1"/>
    <cellStyle name="20% - Accent3" xfId="1815" builtinId="38" hidden="1"/>
    <cellStyle name="20% - Accent3" xfId="1860" builtinId="38" hidden="1"/>
    <cellStyle name="20% - Accent3" xfId="1910" builtinId="38" hidden="1"/>
    <cellStyle name="20% - Accent3" xfId="1964" builtinId="38" hidden="1"/>
    <cellStyle name="20% - Accent3" xfId="2011" builtinId="38" hidden="1"/>
    <cellStyle name="20% - Accent3" xfId="2054" builtinId="38" hidden="1"/>
    <cellStyle name="20% - Accent3" xfId="2098" builtinId="38" hidden="1"/>
    <cellStyle name="20% - Accent3" xfId="2134" builtinId="38" hidden="1"/>
    <cellStyle name="20% - Accent3" xfId="2178" builtinId="38" hidden="1"/>
    <cellStyle name="20% - Accent3" xfId="2225" builtinId="38" hidden="1"/>
    <cellStyle name="20% - Accent3" xfId="2271" builtinId="38" hidden="1"/>
    <cellStyle name="20% - Accent3" xfId="2314" builtinId="38" hidden="1"/>
    <cellStyle name="20% - Accent3" xfId="2358" builtinId="38" hidden="1"/>
    <cellStyle name="20% - Accent3" xfId="2349" builtinId="38" hidden="1"/>
    <cellStyle name="20% - Accent3" xfId="2406" builtinId="38" hidden="1"/>
    <cellStyle name="20% - Accent3" xfId="2451" builtinId="38" hidden="1"/>
    <cellStyle name="20% - Accent3" xfId="2495" builtinId="38" hidden="1"/>
    <cellStyle name="20% - Accent3" xfId="2540" builtinId="38" hidden="1"/>
    <cellStyle name="20% - Accent3" xfId="2585" builtinId="38" hidden="1"/>
    <cellStyle name="20% - Accent3" xfId="2634" builtinId="38" hidden="1"/>
    <cellStyle name="20% - Accent3" xfId="2681" builtinId="38" hidden="1"/>
    <cellStyle name="20% - Accent3" xfId="2727" builtinId="38" hidden="1"/>
    <cellStyle name="20% - Accent3" xfId="2770" builtinId="38" hidden="1"/>
    <cellStyle name="20% - Accent3" xfId="2814" builtinId="38" hidden="1"/>
    <cellStyle name="20% - Accent3" xfId="2850" builtinId="38" hidden="1"/>
    <cellStyle name="20% - Accent3" xfId="2894" builtinId="38" hidden="1"/>
    <cellStyle name="20% - Accent3" xfId="2941" builtinId="38" hidden="1"/>
    <cellStyle name="20% - Accent3" xfId="2987" builtinId="38" hidden="1"/>
    <cellStyle name="20% - Accent3" xfId="3030" builtinId="38" hidden="1"/>
    <cellStyle name="20% - Accent3" xfId="3074" builtinId="38" hidden="1"/>
    <cellStyle name="20% - Accent4" xfId="32" builtinId="42" hidden="1"/>
    <cellStyle name="20% - Accent4" xfId="86" builtinId="42" hidden="1"/>
    <cellStyle name="20% - Accent4" xfId="141" builtinId="42" hidden="1"/>
    <cellStyle name="20% - Accent4" xfId="185" builtinId="42" hidden="1"/>
    <cellStyle name="20% - Accent4" xfId="230" builtinId="42" hidden="1"/>
    <cellStyle name="20% - Accent4" xfId="275" builtinId="42" hidden="1"/>
    <cellStyle name="20% - Accent4" xfId="325" builtinId="42" hidden="1"/>
    <cellStyle name="20% - Accent4" xfId="379" builtinId="42" hidden="1"/>
    <cellStyle name="20% - Accent4" xfId="427" builtinId="42" hidden="1"/>
    <cellStyle name="20% - Accent4" xfId="470" builtinId="42" hidden="1"/>
    <cellStyle name="20% - Accent4" xfId="514" builtinId="42" hidden="1"/>
    <cellStyle name="20% - Accent4" xfId="550" builtinId="42" hidden="1"/>
    <cellStyle name="20% - Accent4" xfId="594" builtinId="42" hidden="1"/>
    <cellStyle name="20% - Accent4" xfId="641" builtinId="42" hidden="1"/>
    <cellStyle name="20% - Accent4" xfId="687" builtinId="42" hidden="1"/>
    <cellStyle name="20% - Accent4" xfId="730" builtinId="42" hidden="1"/>
    <cellStyle name="20% - Accent4" xfId="774" builtinId="42" hidden="1"/>
    <cellStyle name="20% - Accent4" xfId="817" builtinId="42" hidden="1"/>
    <cellStyle name="20% - Accent4" xfId="859" builtinId="42" hidden="1"/>
    <cellStyle name="20% - Accent4" xfId="911" builtinId="42" hidden="1"/>
    <cellStyle name="20% - Accent4" xfId="957" builtinId="42" hidden="1"/>
    <cellStyle name="20% - Accent4" xfId="1001" builtinId="42" hidden="1"/>
    <cellStyle name="20% - Accent4" xfId="1046" builtinId="42" hidden="1"/>
    <cellStyle name="20% - Accent4" xfId="1091" builtinId="42" hidden="1"/>
    <cellStyle name="20% - Accent4" xfId="1141" builtinId="42" hidden="1"/>
    <cellStyle name="20% - Accent4" xfId="1189" builtinId="42" hidden="1"/>
    <cellStyle name="20% - Accent4" xfId="1236" builtinId="42" hidden="1"/>
    <cellStyle name="20% - Accent4" xfId="1279" builtinId="42" hidden="1"/>
    <cellStyle name="20% - Accent4" xfId="1323" builtinId="42" hidden="1"/>
    <cellStyle name="20% - Accent4" xfId="1359" builtinId="42" hidden="1"/>
    <cellStyle name="20% - Accent4" xfId="1403" builtinId="42" hidden="1"/>
    <cellStyle name="20% - Accent4" xfId="1450" builtinId="42" hidden="1"/>
    <cellStyle name="20% - Accent4" xfId="1496" builtinId="42" hidden="1"/>
    <cellStyle name="20% - Accent4" xfId="1539" builtinId="42" hidden="1"/>
    <cellStyle name="20% - Accent4" xfId="1583" builtinId="42" hidden="1"/>
    <cellStyle name="20% - Accent4" xfId="1621" builtinId="42" hidden="1"/>
    <cellStyle name="20% - Accent4" xfId="1675" builtinId="42" hidden="1"/>
    <cellStyle name="20% - Accent4" xfId="1730" builtinId="42" hidden="1"/>
    <cellStyle name="20% - Accent4" xfId="1774" builtinId="42" hidden="1"/>
    <cellStyle name="20% - Accent4" xfId="1819" builtinId="42" hidden="1"/>
    <cellStyle name="20% - Accent4" xfId="1864" builtinId="42" hidden="1"/>
    <cellStyle name="20% - Accent4" xfId="1914" builtinId="42" hidden="1"/>
    <cellStyle name="20% - Accent4" xfId="1968" builtinId="42" hidden="1"/>
    <cellStyle name="20% - Accent4" xfId="2015" builtinId="42" hidden="1"/>
    <cellStyle name="20% - Accent4" xfId="2058" builtinId="42" hidden="1"/>
    <cellStyle name="20% - Accent4" xfId="2102" builtinId="42" hidden="1"/>
    <cellStyle name="20% - Accent4" xfId="2138" builtinId="42" hidden="1"/>
    <cellStyle name="20% - Accent4" xfId="2182" builtinId="42" hidden="1"/>
    <cellStyle name="20% - Accent4" xfId="2229" builtinId="42" hidden="1"/>
    <cellStyle name="20% - Accent4" xfId="2275" builtinId="42" hidden="1"/>
    <cellStyle name="20% - Accent4" xfId="2318" builtinId="42" hidden="1"/>
    <cellStyle name="20% - Accent4" xfId="2362" builtinId="42" hidden="1"/>
    <cellStyle name="20% - Accent4" xfId="2169" builtinId="42" hidden="1"/>
    <cellStyle name="20% - Accent4" xfId="2410" builtinId="42" hidden="1"/>
    <cellStyle name="20% - Accent4" xfId="2455" builtinId="42" hidden="1"/>
    <cellStyle name="20% - Accent4" xfId="2499" builtinId="42" hidden="1"/>
    <cellStyle name="20% - Accent4" xfId="2544" builtinId="42" hidden="1"/>
    <cellStyle name="20% - Accent4" xfId="2589" builtinId="42" hidden="1"/>
    <cellStyle name="20% - Accent4" xfId="2638" builtinId="42" hidden="1"/>
    <cellStyle name="20% - Accent4" xfId="2685" builtinId="42" hidden="1"/>
    <cellStyle name="20% - Accent4" xfId="2731" builtinId="42" hidden="1"/>
    <cellStyle name="20% - Accent4" xfId="2774" builtinId="42" hidden="1"/>
    <cellStyle name="20% - Accent4" xfId="2818" builtinId="42" hidden="1"/>
    <cellStyle name="20% - Accent4" xfId="2854" builtinId="42" hidden="1"/>
    <cellStyle name="20% - Accent4" xfId="2898" builtinId="42" hidden="1"/>
    <cellStyle name="20% - Accent4" xfId="2945" builtinId="42" hidden="1"/>
    <cellStyle name="20% - Accent4" xfId="2991" builtinId="42" hidden="1"/>
    <cellStyle name="20% - Accent4" xfId="3034" builtinId="42" hidden="1"/>
    <cellStyle name="20% - Accent4" xfId="3078" builtinId="42" hidden="1"/>
    <cellStyle name="20% - Accent5" xfId="36" builtinId="46" hidden="1"/>
    <cellStyle name="20% - Accent5" xfId="90" builtinId="46" hidden="1"/>
    <cellStyle name="20% - Accent5" xfId="145" builtinId="46" hidden="1"/>
    <cellStyle name="20% - Accent5" xfId="189" builtinId="46" hidden="1"/>
    <cellStyle name="20% - Accent5" xfId="234" builtinId="46" hidden="1"/>
    <cellStyle name="20% - Accent5" xfId="279" builtinId="46" hidden="1"/>
    <cellStyle name="20% - Accent5" xfId="329" builtinId="46" hidden="1"/>
    <cellStyle name="20% - Accent5" xfId="383" builtinId="46" hidden="1"/>
    <cellStyle name="20% - Accent5" xfId="431" builtinId="46" hidden="1"/>
    <cellStyle name="20% - Accent5" xfId="474" builtinId="46" hidden="1"/>
    <cellStyle name="20% - Accent5" xfId="518" builtinId="46" hidden="1"/>
    <cellStyle name="20% - Accent5" xfId="554" builtinId="46" hidden="1"/>
    <cellStyle name="20% - Accent5" xfId="598" builtinId="46" hidden="1"/>
    <cellStyle name="20% - Accent5" xfId="645" builtinId="46" hidden="1"/>
    <cellStyle name="20% - Accent5" xfId="691" builtinId="46" hidden="1"/>
    <cellStyle name="20% - Accent5" xfId="734" builtinId="46" hidden="1"/>
    <cellStyle name="20% - Accent5" xfId="778" builtinId="46" hidden="1"/>
    <cellStyle name="20% - Accent5" xfId="821" builtinId="46" hidden="1"/>
    <cellStyle name="20% - Accent5" xfId="863" builtinId="46" hidden="1"/>
    <cellStyle name="20% - Accent5" xfId="915" builtinId="46" hidden="1"/>
    <cellStyle name="20% - Accent5" xfId="961" builtinId="46" hidden="1"/>
    <cellStyle name="20% - Accent5" xfId="1005" builtinId="46" hidden="1"/>
    <cellStyle name="20% - Accent5" xfId="1050" builtinId="46" hidden="1"/>
    <cellStyle name="20% - Accent5" xfId="1095" builtinId="46" hidden="1"/>
    <cellStyle name="20% - Accent5" xfId="1145" builtinId="46" hidden="1"/>
    <cellStyle name="20% - Accent5" xfId="1193" builtinId="46" hidden="1"/>
    <cellStyle name="20% - Accent5" xfId="1240" builtinId="46" hidden="1"/>
    <cellStyle name="20% - Accent5" xfId="1283" builtinId="46" hidden="1"/>
    <cellStyle name="20% - Accent5" xfId="1327" builtinId="46" hidden="1"/>
    <cellStyle name="20% - Accent5" xfId="1363" builtinId="46" hidden="1"/>
    <cellStyle name="20% - Accent5" xfId="1407" builtinId="46" hidden="1"/>
    <cellStyle name="20% - Accent5" xfId="1454" builtinId="46" hidden="1"/>
    <cellStyle name="20% - Accent5" xfId="1500" builtinId="46" hidden="1"/>
    <cellStyle name="20% - Accent5" xfId="1543" builtinId="46" hidden="1"/>
    <cellStyle name="20% - Accent5" xfId="1587" builtinId="46" hidden="1"/>
    <cellStyle name="20% - Accent5" xfId="1625" builtinId="46" hidden="1"/>
    <cellStyle name="20% - Accent5" xfId="1679" builtinId="46" hidden="1"/>
    <cellStyle name="20% - Accent5" xfId="1734" builtinId="46" hidden="1"/>
    <cellStyle name="20% - Accent5" xfId="1778" builtinId="46" hidden="1"/>
    <cellStyle name="20% - Accent5" xfId="1823" builtinId="46" hidden="1"/>
    <cellStyle name="20% - Accent5" xfId="1868" builtinId="46" hidden="1"/>
    <cellStyle name="20% - Accent5" xfId="1918" builtinId="46" hidden="1"/>
    <cellStyle name="20% - Accent5" xfId="1972" builtinId="46" hidden="1"/>
    <cellStyle name="20% - Accent5" xfId="2019" builtinId="46" hidden="1"/>
    <cellStyle name="20% - Accent5" xfId="2062" builtinId="46" hidden="1"/>
    <cellStyle name="20% - Accent5" xfId="2106" builtinId="46" hidden="1"/>
    <cellStyle name="20% - Accent5" xfId="2142" builtinId="46" hidden="1"/>
    <cellStyle name="20% - Accent5" xfId="2186" builtinId="46" hidden="1"/>
    <cellStyle name="20% - Accent5" xfId="2233" builtinId="46" hidden="1"/>
    <cellStyle name="20% - Accent5" xfId="2279" builtinId="46" hidden="1"/>
    <cellStyle name="20% - Accent5" xfId="2322" builtinId="46" hidden="1"/>
    <cellStyle name="20% - Accent5" xfId="2366" builtinId="46" hidden="1"/>
    <cellStyle name="20% - Accent5" xfId="2002" builtinId="46" hidden="1"/>
    <cellStyle name="20% - Accent5" xfId="2414" builtinId="46" hidden="1"/>
    <cellStyle name="20% - Accent5" xfId="2459" builtinId="46" hidden="1"/>
    <cellStyle name="20% - Accent5" xfId="2503" builtinId="46" hidden="1"/>
    <cellStyle name="20% - Accent5" xfId="2548" builtinId="46" hidden="1"/>
    <cellStyle name="20% - Accent5" xfId="2593" builtinId="46" hidden="1"/>
    <cellStyle name="20% - Accent5" xfId="2642" builtinId="46" hidden="1"/>
    <cellStyle name="20% - Accent5" xfId="2689" builtinId="46" hidden="1"/>
    <cellStyle name="20% - Accent5" xfId="2735" builtinId="46" hidden="1"/>
    <cellStyle name="20% - Accent5" xfId="2778" builtinId="46" hidden="1"/>
    <cellStyle name="20% - Accent5" xfId="2822" builtinId="46" hidden="1"/>
    <cellStyle name="20% - Accent5" xfId="2858" builtinId="46" hidden="1"/>
    <cellStyle name="20% - Accent5" xfId="2902" builtinId="46" hidden="1"/>
    <cellStyle name="20% - Accent5" xfId="2949" builtinId="46" hidden="1"/>
    <cellStyle name="20% - Accent5" xfId="2995" builtinId="46" hidden="1"/>
    <cellStyle name="20% - Accent5" xfId="3038" builtinId="46" hidden="1"/>
    <cellStyle name="20% - Accent5" xfId="3082" builtinId="46" hidden="1"/>
    <cellStyle name="20% - Accent6" xfId="40" builtinId="50" hidden="1"/>
    <cellStyle name="20% - Accent6" xfId="94" builtinId="50" hidden="1"/>
    <cellStyle name="20% - Accent6" xfId="149" builtinId="50" hidden="1"/>
    <cellStyle name="20% - Accent6" xfId="193" builtinId="50" hidden="1"/>
    <cellStyle name="20% - Accent6" xfId="238" builtinId="50" hidden="1"/>
    <cellStyle name="20% - Accent6" xfId="283" builtinId="50" hidden="1"/>
    <cellStyle name="20% - Accent6" xfId="333" builtinId="50" hidden="1"/>
    <cellStyle name="20% - Accent6" xfId="387" builtinId="50" hidden="1"/>
    <cellStyle name="20% - Accent6" xfId="435" builtinId="50" hidden="1"/>
    <cellStyle name="20% - Accent6" xfId="478" builtinId="50" hidden="1"/>
    <cellStyle name="20% - Accent6" xfId="522" builtinId="50" hidden="1"/>
    <cellStyle name="20% - Accent6" xfId="558" builtinId="50" hidden="1"/>
    <cellStyle name="20% - Accent6" xfId="602" builtinId="50" hidden="1"/>
    <cellStyle name="20% - Accent6" xfId="649" builtinId="50" hidden="1"/>
    <cellStyle name="20% - Accent6" xfId="695" builtinId="50" hidden="1"/>
    <cellStyle name="20% - Accent6" xfId="738" builtinId="50" hidden="1"/>
    <cellStyle name="20% - Accent6" xfId="782" builtinId="50" hidden="1"/>
    <cellStyle name="20% - Accent6" xfId="825" builtinId="50" hidden="1"/>
    <cellStyle name="20% - Accent6" xfId="867" builtinId="50" hidden="1"/>
    <cellStyle name="20% - Accent6" xfId="919" builtinId="50" hidden="1"/>
    <cellStyle name="20% - Accent6" xfId="965" builtinId="50" hidden="1"/>
    <cellStyle name="20% - Accent6" xfId="1009" builtinId="50" hidden="1"/>
    <cellStyle name="20% - Accent6" xfId="1054" builtinId="50" hidden="1"/>
    <cellStyle name="20% - Accent6" xfId="1099" builtinId="50" hidden="1"/>
    <cellStyle name="20% - Accent6" xfId="1149" builtinId="50" hidden="1"/>
    <cellStyle name="20% - Accent6" xfId="1197" builtinId="50" hidden="1"/>
    <cellStyle name="20% - Accent6" xfId="1244" builtinId="50" hidden="1"/>
    <cellStyle name="20% - Accent6" xfId="1287" builtinId="50" hidden="1"/>
    <cellStyle name="20% - Accent6" xfId="1331" builtinId="50" hidden="1"/>
    <cellStyle name="20% - Accent6" xfId="1367" builtinId="50" hidden="1"/>
    <cellStyle name="20% - Accent6" xfId="1411" builtinId="50" hidden="1"/>
    <cellStyle name="20% - Accent6" xfId="1458" builtinId="50" hidden="1"/>
    <cellStyle name="20% - Accent6" xfId="1504" builtinId="50" hidden="1"/>
    <cellStyle name="20% - Accent6" xfId="1547" builtinId="50" hidden="1"/>
    <cellStyle name="20% - Accent6" xfId="1591" builtinId="50" hidden="1"/>
    <cellStyle name="20% - Accent6" xfId="1629" builtinId="50" hidden="1"/>
    <cellStyle name="20% - Accent6" xfId="1683" builtinId="50" hidden="1"/>
    <cellStyle name="20% - Accent6" xfId="1738" builtinId="50" hidden="1"/>
    <cellStyle name="20% - Accent6" xfId="1782" builtinId="50" hidden="1"/>
    <cellStyle name="20% - Accent6" xfId="1827" builtinId="50" hidden="1"/>
    <cellStyle name="20% - Accent6" xfId="1872" builtinId="50" hidden="1"/>
    <cellStyle name="20% - Accent6" xfId="1922" builtinId="50" hidden="1"/>
    <cellStyle name="20% - Accent6" xfId="1976" builtinId="50" hidden="1"/>
    <cellStyle name="20% - Accent6" xfId="2023" builtinId="50" hidden="1"/>
    <cellStyle name="20% - Accent6" xfId="2066" builtinId="50" hidden="1"/>
    <cellStyle name="20% - Accent6" xfId="2110" builtinId="50" hidden="1"/>
    <cellStyle name="20% - Accent6" xfId="2146" builtinId="50" hidden="1"/>
    <cellStyle name="20% - Accent6" xfId="2190" builtinId="50" hidden="1"/>
    <cellStyle name="20% - Accent6" xfId="2237" builtinId="50" hidden="1"/>
    <cellStyle name="20% - Accent6" xfId="2283" builtinId="50" hidden="1"/>
    <cellStyle name="20% - Accent6" xfId="2326" builtinId="50" hidden="1"/>
    <cellStyle name="20% - Accent6" xfId="2370" builtinId="50" hidden="1"/>
    <cellStyle name="20% - Accent6" xfId="1806" builtinId="50" hidden="1"/>
    <cellStyle name="20% - Accent6" xfId="2418" builtinId="50" hidden="1"/>
    <cellStyle name="20% - Accent6" xfId="2463" builtinId="50" hidden="1"/>
    <cellStyle name="20% - Accent6" xfId="2507" builtinId="50" hidden="1"/>
    <cellStyle name="20% - Accent6" xfId="2552" builtinId="50" hidden="1"/>
    <cellStyle name="20% - Accent6" xfId="2597" builtinId="50" hidden="1"/>
    <cellStyle name="20% - Accent6" xfId="2646" builtinId="50" hidden="1"/>
    <cellStyle name="20% - Accent6" xfId="2693" builtinId="50" hidden="1"/>
    <cellStyle name="20% - Accent6" xfId="2739" builtinId="50" hidden="1"/>
    <cellStyle name="20% - Accent6" xfId="2782" builtinId="50" hidden="1"/>
    <cellStyle name="20% - Accent6" xfId="2826" builtinId="50" hidden="1"/>
    <cellStyle name="20% - Accent6" xfId="2862" builtinId="50" hidden="1"/>
    <cellStyle name="20% - Accent6" xfId="2906" builtinId="50" hidden="1"/>
    <cellStyle name="20% - Accent6" xfId="2953" builtinId="50" hidden="1"/>
    <cellStyle name="20% - Accent6" xfId="2999" builtinId="50" hidden="1"/>
    <cellStyle name="20% - Accent6" xfId="3042" builtinId="50" hidden="1"/>
    <cellStyle name="20% - Accent6" xfId="3086" builtinId="50" hidden="1"/>
    <cellStyle name="40% - Accent1" xfId="21" builtinId="31" hidden="1"/>
    <cellStyle name="40% - Accent1" xfId="75" builtinId="31" hidden="1"/>
    <cellStyle name="40% - Accent1" xfId="130" builtinId="31" hidden="1"/>
    <cellStyle name="40% - Accent1" xfId="174" builtinId="31" hidden="1"/>
    <cellStyle name="40% - Accent1" xfId="219" builtinId="31" hidden="1"/>
    <cellStyle name="40% - Accent1" xfId="264" builtinId="31" hidden="1"/>
    <cellStyle name="40% - Accent1" xfId="314" builtinId="31" hidden="1"/>
    <cellStyle name="40% - Accent1" xfId="368" builtinId="31" hidden="1"/>
    <cellStyle name="40% - Accent1" xfId="416" builtinId="31" hidden="1"/>
    <cellStyle name="40% - Accent1" xfId="459" builtinId="31" hidden="1"/>
    <cellStyle name="40% - Accent1" xfId="503" builtinId="31" hidden="1"/>
    <cellStyle name="40% - Accent1" xfId="539" builtinId="31" hidden="1"/>
    <cellStyle name="40% - Accent1" xfId="583" builtinId="31" hidden="1"/>
    <cellStyle name="40% - Accent1" xfId="630" builtinId="31" hidden="1"/>
    <cellStyle name="40% - Accent1" xfId="676" builtinId="31" hidden="1"/>
    <cellStyle name="40% - Accent1" xfId="719" builtinId="31" hidden="1"/>
    <cellStyle name="40% - Accent1" xfId="763" builtinId="31" hidden="1"/>
    <cellStyle name="40% - Accent1" xfId="806" builtinId="31" hidden="1"/>
    <cellStyle name="40% - Accent1" xfId="848" builtinId="31" hidden="1"/>
    <cellStyle name="40% - Accent1" xfId="900" builtinId="31" hidden="1"/>
    <cellStyle name="40% - Accent1" xfId="946" builtinId="31" hidden="1"/>
    <cellStyle name="40% - Accent1" xfId="990" builtinId="31" hidden="1"/>
    <cellStyle name="40% - Accent1" xfId="1035" builtinId="31" hidden="1"/>
    <cellStyle name="40% - Accent1" xfId="1080" builtinId="31" hidden="1"/>
    <cellStyle name="40% - Accent1" xfId="1130" builtinId="31" hidden="1"/>
    <cellStyle name="40% - Accent1" xfId="1178" builtinId="31" hidden="1"/>
    <cellStyle name="40% - Accent1" xfId="1225" builtinId="31" hidden="1"/>
    <cellStyle name="40% - Accent1" xfId="1268" builtinId="31" hidden="1"/>
    <cellStyle name="40% - Accent1" xfId="1312" builtinId="31" hidden="1"/>
    <cellStyle name="40% - Accent1" xfId="1348" builtinId="31" hidden="1"/>
    <cellStyle name="40% - Accent1" xfId="1392" builtinId="31" hidden="1"/>
    <cellStyle name="40% - Accent1" xfId="1439" builtinId="31" hidden="1"/>
    <cellStyle name="40% - Accent1" xfId="1485" builtinId="31" hidden="1"/>
    <cellStyle name="40% - Accent1" xfId="1528" builtinId="31" hidden="1"/>
    <cellStyle name="40% - Accent1" xfId="1572" builtinId="31" hidden="1"/>
    <cellStyle name="40% - Accent1" xfId="1610" builtinId="31" hidden="1"/>
    <cellStyle name="40% - Accent1" xfId="1664" builtinId="31" hidden="1"/>
    <cellStyle name="40% - Accent1" xfId="1719" builtinId="31" hidden="1"/>
    <cellStyle name="40% - Accent1" xfId="1763" builtinId="31" hidden="1"/>
    <cellStyle name="40% - Accent1" xfId="1808" builtinId="31" hidden="1"/>
    <cellStyle name="40% - Accent1" xfId="1853" builtinId="31" hidden="1"/>
    <cellStyle name="40% - Accent1" xfId="1903" builtinId="31" hidden="1"/>
    <cellStyle name="40% - Accent1" xfId="1957" builtinId="31" hidden="1"/>
    <cellStyle name="40% - Accent1" xfId="2004" builtinId="31" hidden="1"/>
    <cellStyle name="40% - Accent1" xfId="2047" builtinId="31" hidden="1"/>
    <cellStyle name="40% - Accent1" xfId="2091" builtinId="31" hidden="1"/>
    <cellStyle name="40% - Accent1" xfId="2127" builtinId="31" hidden="1"/>
    <cellStyle name="40% - Accent1" xfId="2171" builtinId="31" hidden="1"/>
    <cellStyle name="40% - Accent1" xfId="2218" builtinId="31" hidden="1"/>
    <cellStyle name="40% - Accent1" xfId="2264" builtinId="31" hidden="1"/>
    <cellStyle name="40% - Accent1" xfId="2307" builtinId="31" hidden="1"/>
    <cellStyle name="40% - Accent1" xfId="2351" builtinId="31" hidden="1"/>
    <cellStyle name="40% - Accent1" xfId="1930" builtinId="31" hidden="1"/>
    <cellStyle name="40% - Accent1" xfId="2399" builtinId="31" hidden="1"/>
    <cellStyle name="40% - Accent1" xfId="2444" builtinId="31" hidden="1"/>
    <cellStyle name="40% - Accent1" xfId="2488" builtinId="31" hidden="1"/>
    <cellStyle name="40% - Accent1" xfId="2533" builtinId="31" hidden="1"/>
    <cellStyle name="40% - Accent1" xfId="2578" builtinId="31" hidden="1"/>
    <cellStyle name="40% - Accent1" xfId="2627" builtinId="31" hidden="1"/>
    <cellStyle name="40% - Accent1" xfId="2674" builtinId="31" hidden="1"/>
    <cellStyle name="40% - Accent1" xfId="2720" builtinId="31" hidden="1"/>
    <cellStyle name="40% - Accent1" xfId="2763" builtinId="31" hidden="1"/>
    <cellStyle name="40% - Accent1" xfId="2807" builtinId="31" hidden="1"/>
    <cellStyle name="40% - Accent1" xfId="2843" builtinId="31" hidden="1"/>
    <cellStyle name="40% - Accent1" xfId="2887" builtinId="31" hidden="1"/>
    <cellStyle name="40% - Accent1" xfId="2934" builtinId="31" hidden="1"/>
    <cellStyle name="40% - Accent1" xfId="2980" builtinId="31" hidden="1"/>
    <cellStyle name="40% - Accent1" xfId="3023" builtinId="31" hidden="1"/>
    <cellStyle name="40% - Accent1" xfId="3067" builtinId="31" hidden="1"/>
    <cellStyle name="40% - Accent2" xfId="25" builtinId="35" hidden="1"/>
    <cellStyle name="40% - Accent2" xfId="79" builtinId="35" hidden="1"/>
    <cellStyle name="40% - Accent2" xfId="134" builtinId="35" hidden="1"/>
    <cellStyle name="40% - Accent2" xfId="178" builtinId="35" hidden="1"/>
    <cellStyle name="40% - Accent2" xfId="223" builtinId="35" hidden="1"/>
    <cellStyle name="40% - Accent2" xfId="268" builtinId="35" hidden="1"/>
    <cellStyle name="40% - Accent2" xfId="318" builtinId="35" hidden="1"/>
    <cellStyle name="40% - Accent2" xfId="372" builtinId="35" hidden="1"/>
    <cellStyle name="40% - Accent2" xfId="420" builtinId="35" hidden="1"/>
    <cellStyle name="40% - Accent2" xfId="463" builtinId="35" hidden="1"/>
    <cellStyle name="40% - Accent2" xfId="507" builtinId="35" hidden="1"/>
    <cellStyle name="40% - Accent2" xfId="543" builtinId="35" hidden="1"/>
    <cellStyle name="40% - Accent2" xfId="587" builtinId="35" hidden="1"/>
    <cellStyle name="40% - Accent2" xfId="634" builtinId="35" hidden="1"/>
    <cellStyle name="40% - Accent2" xfId="680" builtinId="35" hidden="1"/>
    <cellStyle name="40% - Accent2" xfId="723" builtinId="35" hidden="1"/>
    <cellStyle name="40% - Accent2" xfId="767" builtinId="35" hidden="1"/>
    <cellStyle name="40% - Accent2" xfId="810" builtinId="35" hidden="1"/>
    <cellStyle name="40% - Accent2" xfId="852" builtinId="35" hidden="1"/>
    <cellStyle name="40% - Accent2" xfId="904" builtinId="35" hidden="1"/>
    <cellStyle name="40% - Accent2" xfId="950" builtinId="35" hidden="1"/>
    <cellStyle name="40% - Accent2" xfId="994" builtinId="35" hidden="1"/>
    <cellStyle name="40% - Accent2" xfId="1039" builtinId="35" hidden="1"/>
    <cellStyle name="40% - Accent2" xfId="1084" builtinId="35" hidden="1"/>
    <cellStyle name="40% - Accent2" xfId="1134" builtinId="35" hidden="1"/>
    <cellStyle name="40% - Accent2" xfId="1182" builtinId="35" hidden="1"/>
    <cellStyle name="40% - Accent2" xfId="1229" builtinId="35" hidden="1"/>
    <cellStyle name="40% - Accent2" xfId="1272" builtinId="35" hidden="1"/>
    <cellStyle name="40% - Accent2" xfId="1316" builtinId="35" hidden="1"/>
    <cellStyle name="40% - Accent2" xfId="1352" builtinId="35" hidden="1"/>
    <cellStyle name="40% - Accent2" xfId="1396" builtinId="35" hidden="1"/>
    <cellStyle name="40% - Accent2" xfId="1443" builtinId="35" hidden="1"/>
    <cellStyle name="40% - Accent2" xfId="1489" builtinId="35" hidden="1"/>
    <cellStyle name="40% - Accent2" xfId="1532" builtinId="35" hidden="1"/>
    <cellStyle name="40% - Accent2" xfId="1576" builtinId="35" hidden="1"/>
    <cellStyle name="40% - Accent2" xfId="1614" builtinId="35" hidden="1"/>
    <cellStyle name="40% - Accent2" xfId="1668" builtinId="35" hidden="1"/>
    <cellStyle name="40% - Accent2" xfId="1723" builtinId="35" hidden="1"/>
    <cellStyle name="40% - Accent2" xfId="1767" builtinId="35" hidden="1"/>
    <cellStyle name="40% - Accent2" xfId="1812" builtinId="35" hidden="1"/>
    <cellStyle name="40% - Accent2" xfId="1857" builtinId="35" hidden="1"/>
    <cellStyle name="40% - Accent2" xfId="1907" builtinId="35" hidden="1"/>
    <cellStyle name="40% - Accent2" xfId="1961" builtinId="35" hidden="1"/>
    <cellStyle name="40% - Accent2" xfId="2008" builtinId="35" hidden="1"/>
    <cellStyle name="40% - Accent2" xfId="2051" builtinId="35" hidden="1"/>
    <cellStyle name="40% - Accent2" xfId="2095" builtinId="35" hidden="1"/>
    <cellStyle name="40% - Accent2" xfId="2131" builtinId="35" hidden="1"/>
    <cellStyle name="40% - Accent2" xfId="2175" builtinId="35" hidden="1"/>
    <cellStyle name="40% - Accent2" xfId="2222" builtinId="35" hidden="1"/>
    <cellStyle name="40% - Accent2" xfId="2268" builtinId="35" hidden="1"/>
    <cellStyle name="40% - Accent2" xfId="2311" builtinId="35" hidden="1"/>
    <cellStyle name="40% - Accent2" xfId="2355" builtinId="35" hidden="1"/>
    <cellStyle name="40% - Accent2" xfId="1886" builtinId="35" hidden="1"/>
    <cellStyle name="40% - Accent2" xfId="2403" builtinId="35" hidden="1"/>
    <cellStyle name="40% - Accent2" xfId="2448" builtinId="35" hidden="1"/>
    <cellStyle name="40% - Accent2" xfId="2492" builtinId="35" hidden="1"/>
    <cellStyle name="40% - Accent2" xfId="2537" builtinId="35" hidden="1"/>
    <cellStyle name="40% - Accent2" xfId="2582" builtinId="35" hidden="1"/>
    <cellStyle name="40% - Accent2" xfId="2631" builtinId="35" hidden="1"/>
    <cellStyle name="40% - Accent2" xfId="2678" builtinId="35" hidden="1"/>
    <cellStyle name="40% - Accent2" xfId="2724" builtinId="35" hidden="1"/>
    <cellStyle name="40% - Accent2" xfId="2767" builtinId="35" hidden="1"/>
    <cellStyle name="40% - Accent2" xfId="2811" builtinId="35" hidden="1"/>
    <cellStyle name="40% - Accent2" xfId="2847" builtinId="35" hidden="1"/>
    <cellStyle name="40% - Accent2" xfId="2891" builtinId="35" hidden="1"/>
    <cellStyle name="40% - Accent2" xfId="2938" builtinId="35" hidden="1"/>
    <cellStyle name="40% - Accent2" xfId="2984" builtinId="35" hidden="1"/>
    <cellStyle name="40% - Accent2" xfId="3027" builtinId="35" hidden="1"/>
    <cellStyle name="40% - Accent2" xfId="3071" builtinId="35" hidden="1"/>
    <cellStyle name="40% - Accent3" xfId="29" builtinId="39" hidden="1"/>
    <cellStyle name="40% - Accent3" xfId="83" builtinId="39" hidden="1"/>
    <cellStyle name="40% - Accent3" xfId="138" builtinId="39" hidden="1"/>
    <cellStyle name="40% - Accent3" xfId="182" builtinId="39" hidden="1"/>
    <cellStyle name="40% - Accent3" xfId="227" builtinId="39" hidden="1"/>
    <cellStyle name="40% - Accent3" xfId="272" builtinId="39" hidden="1"/>
    <cellStyle name="40% - Accent3" xfId="322" builtinId="39" hidden="1"/>
    <cellStyle name="40% - Accent3" xfId="376" builtinId="39" hidden="1"/>
    <cellStyle name="40% - Accent3" xfId="424" builtinId="39" hidden="1"/>
    <cellStyle name="40% - Accent3" xfId="467" builtinId="39" hidden="1"/>
    <cellStyle name="40% - Accent3" xfId="511" builtinId="39" hidden="1"/>
    <cellStyle name="40% - Accent3" xfId="547" builtinId="39" hidden="1"/>
    <cellStyle name="40% - Accent3" xfId="591" builtinId="39" hidden="1"/>
    <cellStyle name="40% - Accent3" xfId="638" builtinId="39" hidden="1"/>
    <cellStyle name="40% - Accent3" xfId="684" builtinId="39" hidden="1"/>
    <cellStyle name="40% - Accent3" xfId="727" builtinId="39" hidden="1"/>
    <cellStyle name="40% - Accent3" xfId="771" builtinId="39" hidden="1"/>
    <cellStyle name="40% - Accent3" xfId="814" builtinId="39" hidden="1"/>
    <cellStyle name="40% - Accent3" xfId="856" builtinId="39" hidden="1"/>
    <cellStyle name="40% - Accent3" xfId="908" builtinId="39" hidden="1"/>
    <cellStyle name="40% - Accent3" xfId="954" builtinId="39" hidden="1"/>
    <cellStyle name="40% - Accent3" xfId="998" builtinId="39" hidden="1"/>
    <cellStyle name="40% - Accent3" xfId="1043" builtinId="39" hidden="1"/>
    <cellStyle name="40% - Accent3" xfId="1088" builtinId="39" hidden="1"/>
    <cellStyle name="40% - Accent3" xfId="1138" builtinId="39" hidden="1"/>
    <cellStyle name="40% - Accent3" xfId="1186" builtinId="39" hidden="1"/>
    <cellStyle name="40% - Accent3" xfId="1233" builtinId="39" hidden="1"/>
    <cellStyle name="40% - Accent3" xfId="1276" builtinId="39" hidden="1"/>
    <cellStyle name="40% - Accent3" xfId="1320" builtinId="39" hidden="1"/>
    <cellStyle name="40% - Accent3" xfId="1356" builtinId="39" hidden="1"/>
    <cellStyle name="40% - Accent3" xfId="1400" builtinId="39" hidden="1"/>
    <cellStyle name="40% - Accent3" xfId="1447" builtinId="39" hidden="1"/>
    <cellStyle name="40% - Accent3" xfId="1493" builtinId="39" hidden="1"/>
    <cellStyle name="40% - Accent3" xfId="1536" builtinId="39" hidden="1"/>
    <cellStyle name="40% - Accent3" xfId="1580" builtinId="39" hidden="1"/>
    <cellStyle name="40% - Accent3" xfId="1618" builtinId="39" hidden="1"/>
    <cellStyle name="40% - Accent3" xfId="1672" builtinId="39" hidden="1"/>
    <cellStyle name="40% - Accent3" xfId="1727" builtinId="39" hidden="1"/>
    <cellStyle name="40% - Accent3" xfId="1771" builtinId="39" hidden="1"/>
    <cellStyle name="40% - Accent3" xfId="1816" builtinId="39" hidden="1"/>
    <cellStyle name="40% - Accent3" xfId="1861" builtinId="39" hidden="1"/>
    <cellStyle name="40% - Accent3" xfId="1911" builtinId="39" hidden="1"/>
    <cellStyle name="40% - Accent3" xfId="1965" builtinId="39" hidden="1"/>
    <cellStyle name="40% - Accent3" xfId="2012" builtinId="39" hidden="1"/>
    <cellStyle name="40% - Accent3" xfId="2055" builtinId="39" hidden="1"/>
    <cellStyle name="40% - Accent3" xfId="2099" builtinId="39" hidden="1"/>
    <cellStyle name="40% - Accent3" xfId="2135" builtinId="39" hidden="1"/>
    <cellStyle name="40% - Accent3" xfId="2179" builtinId="39" hidden="1"/>
    <cellStyle name="40% - Accent3" xfId="2226" builtinId="39" hidden="1"/>
    <cellStyle name="40% - Accent3" xfId="2272" builtinId="39" hidden="1"/>
    <cellStyle name="40% - Accent3" xfId="2315" builtinId="39" hidden="1"/>
    <cellStyle name="40% - Accent3" xfId="2359" builtinId="39" hidden="1"/>
    <cellStyle name="40% - Accent3" xfId="2305" builtinId="39" hidden="1"/>
    <cellStyle name="40% - Accent3" xfId="2407" builtinId="39" hidden="1"/>
    <cellStyle name="40% - Accent3" xfId="2452" builtinId="39" hidden="1"/>
    <cellStyle name="40% - Accent3" xfId="2496" builtinId="39" hidden="1"/>
    <cellStyle name="40% - Accent3" xfId="2541" builtinId="39" hidden="1"/>
    <cellStyle name="40% - Accent3" xfId="2586" builtinId="39" hidden="1"/>
    <cellStyle name="40% - Accent3" xfId="2635" builtinId="39" hidden="1"/>
    <cellStyle name="40% - Accent3" xfId="2682" builtinId="39" hidden="1"/>
    <cellStyle name="40% - Accent3" xfId="2728" builtinId="39" hidden="1"/>
    <cellStyle name="40% - Accent3" xfId="2771" builtinId="39" hidden="1"/>
    <cellStyle name="40% - Accent3" xfId="2815" builtinId="39" hidden="1"/>
    <cellStyle name="40% - Accent3" xfId="2851" builtinId="39" hidden="1"/>
    <cellStyle name="40% - Accent3" xfId="2895" builtinId="39" hidden="1"/>
    <cellStyle name="40% - Accent3" xfId="2942" builtinId="39" hidden="1"/>
    <cellStyle name="40% - Accent3" xfId="2988" builtinId="39" hidden="1"/>
    <cellStyle name="40% - Accent3" xfId="3031" builtinId="39" hidden="1"/>
    <cellStyle name="40% - Accent3" xfId="3075" builtinId="39" hidden="1"/>
    <cellStyle name="40% - Accent4" xfId="33" builtinId="43" hidden="1"/>
    <cellStyle name="40% - Accent4" xfId="87" builtinId="43" hidden="1"/>
    <cellStyle name="40% - Accent4" xfId="142" builtinId="43" hidden="1"/>
    <cellStyle name="40% - Accent4" xfId="186" builtinId="43" hidden="1"/>
    <cellStyle name="40% - Accent4" xfId="231" builtinId="43" hidden="1"/>
    <cellStyle name="40% - Accent4" xfId="276" builtinId="43" hidden="1"/>
    <cellStyle name="40% - Accent4" xfId="326" builtinId="43" hidden="1"/>
    <cellStyle name="40% - Accent4" xfId="380" builtinId="43" hidden="1"/>
    <cellStyle name="40% - Accent4" xfId="428" builtinId="43" hidden="1"/>
    <cellStyle name="40% - Accent4" xfId="471" builtinId="43" hidden="1"/>
    <cellStyle name="40% - Accent4" xfId="515" builtinId="43" hidden="1"/>
    <cellStyle name="40% - Accent4" xfId="551" builtinId="43" hidden="1"/>
    <cellStyle name="40% - Accent4" xfId="595" builtinId="43" hidden="1"/>
    <cellStyle name="40% - Accent4" xfId="642" builtinId="43" hidden="1"/>
    <cellStyle name="40% - Accent4" xfId="688" builtinId="43" hidden="1"/>
    <cellStyle name="40% - Accent4" xfId="731" builtinId="43" hidden="1"/>
    <cellStyle name="40% - Accent4" xfId="775" builtinId="43" hidden="1"/>
    <cellStyle name="40% - Accent4" xfId="818" builtinId="43" hidden="1"/>
    <cellStyle name="40% - Accent4" xfId="860" builtinId="43" hidden="1"/>
    <cellStyle name="40% - Accent4" xfId="912" builtinId="43" hidden="1"/>
    <cellStyle name="40% - Accent4" xfId="958" builtinId="43" hidden="1"/>
    <cellStyle name="40% - Accent4" xfId="1002" builtinId="43" hidden="1"/>
    <cellStyle name="40% - Accent4" xfId="1047" builtinId="43" hidden="1"/>
    <cellStyle name="40% - Accent4" xfId="1092" builtinId="43" hidden="1"/>
    <cellStyle name="40% - Accent4" xfId="1142" builtinId="43" hidden="1"/>
    <cellStyle name="40% - Accent4" xfId="1190" builtinId="43" hidden="1"/>
    <cellStyle name="40% - Accent4" xfId="1237" builtinId="43" hidden="1"/>
    <cellStyle name="40% - Accent4" xfId="1280" builtinId="43" hidden="1"/>
    <cellStyle name="40% - Accent4" xfId="1324" builtinId="43" hidden="1"/>
    <cellStyle name="40% - Accent4" xfId="1360" builtinId="43" hidden="1"/>
    <cellStyle name="40% - Accent4" xfId="1404" builtinId="43" hidden="1"/>
    <cellStyle name="40% - Accent4" xfId="1451" builtinId="43" hidden="1"/>
    <cellStyle name="40% - Accent4" xfId="1497" builtinId="43" hidden="1"/>
    <cellStyle name="40% - Accent4" xfId="1540" builtinId="43" hidden="1"/>
    <cellStyle name="40% - Accent4" xfId="1584" builtinId="43" hidden="1"/>
    <cellStyle name="40% - Accent4" xfId="1622" builtinId="43" hidden="1"/>
    <cellStyle name="40% - Accent4" xfId="1676" builtinId="43" hidden="1"/>
    <cellStyle name="40% - Accent4" xfId="1731" builtinId="43" hidden="1"/>
    <cellStyle name="40% - Accent4" xfId="1775" builtinId="43" hidden="1"/>
    <cellStyle name="40% - Accent4" xfId="1820" builtinId="43" hidden="1"/>
    <cellStyle name="40% - Accent4" xfId="1865" builtinId="43" hidden="1"/>
    <cellStyle name="40% - Accent4" xfId="1915" builtinId="43" hidden="1"/>
    <cellStyle name="40% - Accent4" xfId="1969" builtinId="43" hidden="1"/>
    <cellStyle name="40% - Accent4" xfId="2016" builtinId="43" hidden="1"/>
    <cellStyle name="40% - Accent4" xfId="2059" builtinId="43" hidden="1"/>
    <cellStyle name="40% - Accent4" xfId="2103" builtinId="43" hidden="1"/>
    <cellStyle name="40% - Accent4" xfId="2139" builtinId="43" hidden="1"/>
    <cellStyle name="40% - Accent4" xfId="2183" builtinId="43" hidden="1"/>
    <cellStyle name="40% - Accent4" xfId="2230" builtinId="43" hidden="1"/>
    <cellStyle name="40% - Accent4" xfId="2276" builtinId="43" hidden="1"/>
    <cellStyle name="40% - Accent4" xfId="2319" builtinId="43" hidden="1"/>
    <cellStyle name="40% - Accent4" xfId="2363" builtinId="43" hidden="1"/>
    <cellStyle name="40% - Accent4" xfId="2125" builtinId="43" hidden="1"/>
    <cellStyle name="40% - Accent4" xfId="2411" builtinId="43" hidden="1"/>
    <cellStyle name="40% - Accent4" xfId="2456" builtinId="43" hidden="1"/>
    <cellStyle name="40% - Accent4" xfId="2500" builtinId="43" hidden="1"/>
    <cellStyle name="40% - Accent4" xfId="2545" builtinId="43" hidden="1"/>
    <cellStyle name="40% - Accent4" xfId="2590" builtinId="43" hidden="1"/>
    <cellStyle name="40% - Accent4" xfId="2639" builtinId="43" hidden="1"/>
    <cellStyle name="40% - Accent4" xfId="2686" builtinId="43" hidden="1"/>
    <cellStyle name="40% - Accent4" xfId="2732" builtinId="43" hidden="1"/>
    <cellStyle name="40% - Accent4" xfId="2775" builtinId="43" hidden="1"/>
    <cellStyle name="40% - Accent4" xfId="2819" builtinId="43" hidden="1"/>
    <cellStyle name="40% - Accent4" xfId="2855" builtinId="43" hidden="1"/>
    <cellStyle name="40% - Accent4" xfId="2899" builtinId="43" hidden="1"/>
    <cellStyle name="40% - Accent4" xfId="2946" builtinId="43" hidden="1"/>
    <cellStyle name="40% - Accent4" xfId="2992" builtinId="43" hidden="1"/>
    <cellStyle name="40% - Accent4" xfId="3035" builtinId="43" hidden="1"/>
    <cellStyle name="40% - Accent4" xfId="3079" builtinId="43" hidden="1"/>
    <cellStyle name="40% - Accent5" xfId="37" builtinId="47" hidden="1"/>
    <cellStyle name="40% - Accent5" xfId="91" builtinId="47" hidden="1"/>
    <cellStyle name="40% - Accent5" xfId="146" builtinId="47" hidden="1"/>
    <cellStyle name="40% - Accent5" xfId="190" builtinId="47" hidden="1"/>
    <cellStyle name="40% - Accent5" xfId="235" builtinId="47" hidden="1"/>
    <cellStyle name="40% - Accent5" xfId="280" builtinId="47" hidden="1"/>
    <cellStyle name="40% - Accent5" xfId="330" builtinId="47" hidden="1"/>
    <cellStyle name="40% - Accent5" xfId="384" builtinId="47" hidden="1"/>
    <cellStyle name="40% - Accent5" xfId="432" builtinId="47" hidden="1"/>
    <cellStyle name="40% - Accent5" xfId="475" builtinId="47" hidden="1"/>
    <cellStyle name="40% - Accent5" xfId="519" builtinId="47" hidden="1"/>
    <cellStyle name="40% - Accent5" xfId="555" builtinId="47" hidden="1"/>
    <cellStyle name="40% - Accent5" xfId="599" builtinId="47" hidden="1"/>
    <cellStyle name="40% - Accent5" xfId="646" builtinId="47" hidden="1"/>
    <cellStyle name="40% - Accent5" xfId="692" builtinId="47" hidden="1"/>
    <cellStyle name="40% - Accent5" xfId="735" builtinId="47" hidden="1"/>
    <cellStyle name="40% - Accent5" xfId="779" builtinId="47" hidden="1"/>
    <cellStyle name="40% - Accent5" xfId="822" builtinId="47" hidden="1"/>
    <cellStyle name="40% - Accent5" xfId="864" builtinId="47" hidden="1"/>
    <cellStyle name="40% - Accent5" xfId="916" builtinId="47" hidden="1"/>
    <cellStyle name="40% - Accent5" xfId="962" builtinId="47" hidden="1"/>
    <cellStyle name="40% - Accent5" xfId="1006" builtinId="47" hidden="1"/>
    <cellStyle name="40% - Accent5" xfId="1051" builtinId="47" hidden="1"/>
    <cellStyle name="40% - Accent5" xfId="1096" builtinId="47" hidden="1"/>
    <cellStyle name="40% - Accent5" xfId="1146" builtinId="47" hidden="1"/>
    <cellStyle name="40% - Accent5" xfId="1194" builtinId="47" hidden="1"/>
    <cellStyle name="40% - Accent5" xfId="1241" builtinId="47" hidden="1"/>
    <cellStyle name="40% - Accent5" xfId="1284" builtinId="47" hidden="1"/>
    <cellStyle name="40% - Accent5" xfId="1328" builtinId="47" hidden="1"/>
    <cellStyle name="40% - Accent5" xfId="1364" builtinId="47" hidden="1"/>
    <cellStyle name="40% - Accent5" xfId="1408" builtinId="47" hidden="1"/>
    <cellStyle name="40% - Accent5" xfId="1455" builtinId="47" hidden="1"/>
    <cellStyle name="40% - Accent5" xfId="1501" builtinId="47" hidden="1"/>
    <cellStyle name="40% - Accent5" xfId="1544" builtinId="47" hidden="1"/>
    <cellStyle name="40% - Accent5" xfId="1588" builtinId="47" hidden="1"/>
    <cellStyle name="40% - Accent5" xfId="1626" builtinId="47" hidden="1"/>
    <cellStyle name="40% - Accent5" xfId="1680" builtinId="47" hidden="1"/>
    <cellStyle name="40% - Accent5" xfId="1735" builtinId="47" hidden="1"/>
    <cellStyle name="40% - Accent5" xfId="1779" builtinId="47" hidden="1"/>
    <cellStyle name="40% - Accent5" xfId="1824" builtinId="47" hidden="1"/>
    <cellStyle name="40% - Accent5" xfId="1869" builtinId="47" hidden="1"/>
    <cellStyle name="40% - Accent5" xfId="1919" builtinId="47" hidden="1"/>
    <cellStyle name="40% - Accent5" xfId="1973" builtinId="47" hidden="1"/>
    <cellStyle name="40% - Accent5" xfId="2020" builtinId="47" hidden="1"/>
    <cellStyle name="40% - Accent5" xfId="2063" builtinId="47" hidden="1"/>
    <cellStyle name="40% - Accent5" xfId="2107" builtinId="47" hidden="1"/>
    <cellStyle name="40% - Accent5" xfId="2143" builtinId="47" hidden="1"/>
    <cellStyle name="40% - Accent5" xfId="2187" builtinId="47" hidden="1"/>
    <cellStyle name="40% - Accent5" xfId="2234" builtinId="47" hidden="1"/>
    <cellStyle name="40% - Accent5" xfId="2280" builtinId="47" hidden="1"/>
    <cellStyle name="40% - Accent5" xfId="2323" builtinId="47" hidden="1"/>
    <cellStyle name="40% - Accent5" xfId="2367" builtinId="47" hidden="1"/>
    <cellStyle name="40% - Accent5" xfId="1955" builtinId="47" hidden="1"/>
    <cellStyle name="40% - Accent5" xfId="2415" builtinId="47" hidden="1"/>
    <cellStyle name="40% - Accent5" xfId="2460" builtinId="47" hidden="1"/>
    <cellStyle name="40% - Accent5" xfId="2504" builtinId="47" hidden="1"/>
    <cellStyle name="40% - Accent5" xfId="2549" builtinId="47" hidden="1"/>
    <cellStyle name="40% - Accent5" xfId="2594" builtinId="47" hidden="1"/>
    <cellStyle name="40% - Accent5" xfId="2643" builtinId="47" hidden="1"/>
    <cellStyle name="40% - Accent5" xfId="2690" builtinId="47" hidden="1"/>
    <cellStyle name="40% - Accent5" xfId="2736" builtinId="47" hidden="1"/>
    <cellStyle name="40% - Accent5" xfId="2779" builtinId="47" hidden="1"/>
    <cellStyle name="40% - Accent5" xfId="2823" builtinId="47" hidden="1"/>
    <cellStyle name="40% - Accent5" xfId="2859" builtinId="47" hidden="1"/>
    <cellStyle name="40% - Accent5" xfId="2903" builtinId="47" hidden="1"/>
    <cellStyle name="40% - Accent5" xfId="2950" builtinId="47" hidden="1"/>
    <cellStyle name="40% - Accent5" xfId="2996" builtinId="47" hidden="1"/>
    <cellStyle name="40% - Accent5" xfId="3039" builtinId="47" hidden="1"/>
    <cellStyle name="40% - Accent5" xfId="3083" builtinId="47" hidden="1"/>
    <cellStyle name="40% - Accent6" xfId="41" builtinId="51" hidden="1"/>
    <cellStyle name="40% - Accent6" xfId="95" builtinId="51" hidden="1"/>
    <cellStyle name="40% - Accent6" xfId="150" builtinId="51" hidden="1"/>
    <cellStyle name="40% - Accent6" xfId="194" builtinId="51" hidden="1"/>
    <cellStyle name="40% - Accent6" xfId="239" builtinId="51" hidden="1"/>
    <cellStyle name="40% - Accent6" xfId="284" builtinId="51" hidden="1"/>
    <cellStyle name="40% - Accent6" xfId="334" builtinId="51" hidden="1"/>
    <cellStyle name="40% - Accent6" xfId="388" builtinId="51" hidden="1"/>
    <cellStyle name="40% - Accent6" xfId="436" builtinId="51" hidden="1"/>
    <cellStyle name="40% - Accent6" xfId="479" builtinId="51" hidden="1"/>
    <cellStyle name="40% - Accent6" xfId="523" builtinId="51" hidden="1"/>
    <cellStyle name="40% - Accent6" xfId="559" builtinId="51" hidden="1"/>
    <cellStyle name="40% - Accent6" xfId="603" builtinId="51" hidden="1"/>
    <cellStyle name="40% - Accent6" xfId="650" builtinId="51" hidden="1"/>
    <cellStyle name="40% - Accent6" xfId="696" builtinId="51" hidden="1"/>
    <cellStyle name="40% - Accent6" xfId="739" builtinId="51" hidden="1"/>
    <cellStyle name="40% - Accent6" xfId="783" builtinId="51" hidden="1"/>
    <cellStyle name="40% - Accent6" xfId="826" builtinId="51" hidden="1"/>
    <cellStyle name="40% - Accent6" xfId="868" builtinId="51" hidden="1"/>
    <cellStyle name="40% - Accent6" xfId="920" builtinId="51" hidden="1"/>
    <cellStyle name="40% - Accent6" xfId="966" builtinId="51" hidden="1"/>
    <cellStyle name="40% - Accent6" xfId="1010" builtinId="51" hidden="1"/>
    <cellStyle name="40% - Accent6" xfId="1055" builtinId="51" hidden="1"/>
    <cellStyle name="40% - Accent6" xfId="1100" builtinId="51" hidden="1"/>
    <cellStyle name="40% - Accent6" xfId="1150" builtinId="51" hidden="1"/>
    <cellStyle name="40% - Accent6" xfId="1198" builtinId="51" hidden="1"/>
    <cellStyle name="40% - Accent6" xfId="1245" builtinId="51" hidden="1"/>
    <cellStyle name="40% - Accent6" xfId="1288" builtinId="51" hidden="1"/>
    <cellStyle name="40% - Accent6" xfId="1332" builtinId="51" hidden="1"/>
    <cellStyle name="40% - Accent6" xfId="1368" builtinId="51" hidden="1"/>
    <cellStyle name="40% - Accent6" xfId="1412" builtinId="51" hidden="1"/>
    <cellStyle name="40% - Accent6" xfId="1459" builtinId="51" hidden="1"/>
    <cellStyle name="40% - Accent6" xfId="1505" builtinId="51" hidden="1"/>
    <cellStyle name="40% - Accent6" xfId="1548" builtinId="51" hidden="1"/>
    <cellStyle name="40% - Accent6" xfId="1592" builtinId="51" hidden="1"/>
    <cellStyle name="40% - Accent6" xfId="1630" builtinId="51" hidden="1"/>
    <cellStyle name="40% - Accent6" xfId="1684" builtinId="51" hidden="1"/>
    <cellStyle name="40% - Accent6" xfId="1739" builtinId="51" hidden="1"/>
    <cellStyle name="40% - Accent6" xfId="1783" builtinId="51" hidden="1"/>
    <cellStyle name="40% - Accent6" xfId="1828" builtinId="51" hidden="1"/>
    <cellStyle name="40% - Accent6" xfId="1873" builtinId="51" hidden="1"/>
    <cellStyle name="40% - Accent6" xfId="1923" builtinId="51" hidden="1"/>
    <cellStyle name="40% - Accent6" xfId="1977" builtinId="51" hidden="1"/>
    <cellStyle name="40% - Accent6" xfId="2024" builtinId="51" hidden="1"/>
    <cellStyle name="40% - Accent6" xfId="2067" builtinId="51" hidden="1"/>
    <cellStyle name="40% - Accent6" xfId="2111" builtinId="51" hidden="1"/>
    <cellStyle name="40% - Accent6" xfId="2147" builtinId="51" hidden="1"/>
    <cellStyle name="40% - Accent6" xfId="2191" builtinId="51" hidden="1"/>
    <cellStyle name="40% - Accent6" xfId="2238" builtinId="51" hidden="1"/>
    <cellStyle name="40% - Accent6" xfId="2284" builtinId="51" hidden="1"/>
    <cellStyle name="40% - Accent6" xfId="2327" builtinId="51" hidden="1"/>
    <cellStyle name="40% - Accent6" xfId="2371" builtinId="51" hidden="1"/>
    <cellStyle name="40% - Accent6" xfId="1761" builtinId="51" hidden="1"/>
    <cellStyle name="40% - Accent6" xfId="2419" builtinId="51" hidden="1"/>
    <cellStyle name="40% - Accent6" xfId="2464" builtinId="51" hidden="1"/>
    <cellStyle name="40% - Accent6" xfId="2508" builtinId="51" hidden="1"/>
    <cellStyle name="40% - Accent6" xfId="2553" builtinId="51" hidden="1"/>
    <cellStyle name="40% - Accent6" xfId="2598" builtinId="51" hidden="1"/>
    <cellStyle name="40% - Accent6" xfId="2647" builtinId="51" hidden="1"/>
    <cellStyle name="40% - Accent6" xfId="2694" builtinId="51" hidden="1"/>
    <cellStyle name="40% - Accent6" xfId="2740" builtinId="51" hidden="1"/>
    <cellStyle name="40% - Accent6" xfId="2783" builtinId="51" hidden="1"/>
    <cellStyle name="40% - Accent6" xfId="2827" builtinId="51" hidden="1"/>
    <cellStyle name="40% - Accent6" xfId="2863" builtinId="51" hidden="1"/>
    <cellStyle name="40% - Accent6" xfId="2907" builtinId="51" hidden="1"/>
    <cellStyle name="40% - Accent6" xfId="2954" builtinId="51" hidden="1"/>
    <cellStyle name="40% - Accent6" xfId="3000" builtinId="51" hidden="1"/>
    <cellStyle name="40% - Accent6" xfId="3043" builtinId="51" hidden="1"/>
    <cellStyle name="40% - Accent6" xfId="3087" builtinId="51" hidden="1"/>
    <cellStyle name="60% - Accent1" xfId="22" builtinId="32" hidden="1"/>
    <cellStyle name="60% - Accent1" xfId="76" builtinId="32" hidden="1"/>
    <cellStyle name="60% - Accent1" xfId="131" builtinId="32" hidden="1"/>
    <cellStyle name="60% - Accent1" xfId="175" builtinId="32" hidden="1"/>
    <cellStyle name="60% - Accent1" xfId="220" builtinId="32" hidden="1"/>
    <cellStyle name="60% - Accent1" xfId="265" builtinId="32" hidden="1"/>
    <cellStyle name="60% - Accent1" xfId="315" builtinId="32" hidden="1"/>
    <cellStyle name="60% - Accent1" xfId="369" builtinId="32" hidden="1"/>
    <cellStyle name="60% - Accent1" xfId="417" builtinId="32" hidden="1"/>
    <cellStyle name="60% - Accent1" xfId="460" builtinId="32" hidden="1"/>
    <cellStyle name="60% - Accent1" xfId="504" builtinId="32" hidden="1"/>
    <cellStyle name="60% - Accent1" xfId="540" builtinId="32" hidden="1"/>
    <cellStyle name="60% - Accent1" xfId="584" builtinId="32" hidden="1"/>
    <cellStyle name="60% - Accent1" xfId="631" builtinId="32" hidden="1"/>
    <cellStyle name="60% - Accent1" xfId="677" builtinId="32" hidden="1"/>
    <cellStyle name="60% - Accent1" xfId="720" builtinId="32" hidden="1"/>
    <cellStyle name="60% - Accent1" xfId="764" builtinId="32" hidden="1"/>
    <cellStyle name="60% - Accent1" xfId="807" builtinId="32" hidden="1"/>
    <cellStyle name="60% - Accent1" xfId="849" builtinId="32" hidden="1"/>
    <cellStyle name="60% - Accent1" xfId="901" builtinId="32" hidden="1"/>
    <cellStyle name="60% - Accent1" xfId="947" builtinId="32" hidden="1"/>
    <cellStyle name="60% - Accent1" xfId="991" builtinId="32" hidden="1"/>
    <cellStyle name="60% - Accent1" xfId="1036" builtinId="32" hidden="1"/>
    <cellStyle name="60% - Accent1" xfId="1081" builtinId="32" hidden="1"/>
    <cellStyle name="60% - Accent1" xfId="1131" builtinId="32" hidden="1"/>
    <cellStyle name="60% - Accent1" xfId="1179" builtinId="32" hidden="1"/>
    <cellStyle name="60% - Accent1" xfId="1226" builtinId="32" hidden="1"/>
    <cellStyle name="60% - Accent1" xfId="1269" builtinId="32" hidden="1"/>
    <cellStyle name="60% - Accent1" xfId="1313" builtinId="32" hidden="1"/>
    <cellStyle name="60% - Accent1" xfId="1349" builtinId="32" hidden="1"/>
    <cellStyle name="60% - Accent1" xfId="1393" builtinId="32" hidden="1"/>
    <cellStyle name="60% - Accent1" xfId="1440" builtinId="32" hidden="1"/>
    <cellStyle name="60% - Accent1" xfId="1486" builtinId="32" hidden="1"/>
    <cellStyle name="60% - Accent1" xfId="1529" builtinId="32" hidden="1"/>
    <cellStyle name="60% - Accent1" xfId="1573" builtinId="32" hidden="1"/>
    <cellStyle name="60% - Accent1" xfId="1611" builtinId="32" hidden="1"/>
    <cellStyle name="60% - Accent1" xfId="1665" builtinId="32" hidden="1"/>
    <cellStyle name="60% - Accent1" xfId="1720" builtinId="32" hidden="1"/>
    <cellStyle name="60% - Accent1" xfId="1764" builtinId="32" hidden="1"/>
    <cellStyle name="60% - Accent1" xfId="1809" builtinId="32" hidden="1"/>
    <cellStyle name="60% - Accent1" xfId="1854" builtinId="32" hidden="1"/>
    <cellStyle name="60% - Accent1" xfId="1904" builtinId="32" hidden="1"/>
    <cellStyle name="60% - Accent1" xfId="1958" builtinId="32" hidden="1"/>
    <cellStyle name="60% - Accent1" xfId="2005" builtinId="32" hidden="1"/>
    <cellStyle name="60% - Accent1" xfId="2048" builtinId="32" hidden="1"/>
    <cellStyle name="60% - Accent1" xfId="2092" builtinId="32" hidden="1"/>
    <cellStyle name="60% - Accent1" xfId="2128" builtinId="32" hidden="1"/>
    <cellStyle name="60% - Accent1" xfId="2172" builtinId="32" hidden="1"/>
    <cellStyle name="60% - Accent1" xfId="2219" builtinId="32" hidden="1"/>
    <cellStyle name="60% - Accent1" xfId="2265" builtinId="32" hidden="1"/>
    <cellStyle name="60% - Accent1" xfId="2308" builtinId="32" hidden="1"/>
    <cellStyle name="60% - Accent1" xfId="2352" builtinId="32" hidden="1"/>
    <cellStyle name="60% - Accent1" xfId="1692" builtinId="32" hidden="1"/>
    <cellStyle name="60% - Accent1" xfId="2400" builtinId="32" hidden="1"/>
    <cellStyle name="60% - Accent1" xfId="2445" builtinId="32" hidden="1"/>
    <cellStyle name="60% - Accent1" xfId="2489" builtinId="32" hidden="1"/>
    <cellStyle name="60% - Accent1" xfId="2534" builtinId="32" hidden="1"/>
    <cellStyle name="60% - Accent1" xfId="2579" builtinId="32" hidden="1"/>
    <cellStyle name="60% - Accent1" xfId="2628" builtinId="32" hidden="1"/>
    <cellStyle name="60% - Accent1" xfId="2675" builtinId="32" hidden="1"/>
    <cellStyle name="60% - Accent1" xfId="2721" builtinId="32" hidden="1"/>
    <cellStyle name="60% - Accent1" xfId="2764" builtinId="32" hidden="1"/>
    <cellStyle name="60% - Accent1" xfId="2808" builtinId="32" hidden="1"/>
    <cellStyle name="60% - Accent1" xfId="2844" builtinId="32" hidden="1"/>
    <cellStyle name="60% - Accent1" xfId="2888" builtinId="32" hidden="1"/>
    <cellStyle name="60% - Accent1" xfId="2935" builtinId="32" hidden="1"/>
    <cellStyle name="60% - Accent1" xfId="2981" builtinId="32" hidden="1"/>
    <cellStyle name="60% - Accent1" xfId="3024" builtinId="32" hidden="1"/>
    <cellStyle name="60% - Accent1" xfId="3068" builtinId="32" hidden="1"/>
    <cellStyle name="60% - Accent2" xfId="26" builtinId="36" hidden="1"/>
    <cellStyle name="60% - Accent2" xfId="80" builtinId="36" hidden="1"/>
    <cellStyle name="60% - Accent2" xfId="135" builtinId="36" hidden="1"/>
    <cellStyle name="60% - Accent2" xfId="179" builtinId="36" hidden="1"/>
    <cellStyle name="60% - Accent2" xfId="224" builtinId="36" hidden="1"/>
    <cellStyle name="60% - Accent2" xfId="269" builtinId="36" hidden="1"/>
    <cellStyle name="60% - Accent2" xfId="319" builtinId="36" hidden="1"/>
    <cellStyle name="60% - Accent2" xfId="373" builtinId="36" hidden="1"/>
    <cellStyle name="60% - Accent2" xfId="421" builtinId="36" hidden="1"/>
    <cellStyle name="60% - Accent2" xfId="464" builtinId="36" hidden="1"/>
    <cellStyle name="60% - Accent2" xfId="508" builtinId="36" hidden="1"/>
    <cellStyle name="60% - Accent2" xfId="544" builtinId="36" hidden="1"/>
    <cellStyle name="60% - Accent2" xfId="588" builtinId="36" hidden="1"/>
    <cellStyle name="60% - Accent2" xfId="635" builtinId="36" hidden="1"/>
    <cellStyle name="60% - Accent2" xfId="681" builtinId="36" hidden="1"/>
    <cellStyle name="60% - Accent2" xfId="724" builtinId="36" hidden="1"/>
    <cellStyle name="60% - Accent2" xfId="768" builtinId="36" hidden="1"/>
    <cellStyle name="60% - Accent2" xfId="811" builtinId="36" hidden="1"/>
    <cellStyle name="60% - Accent2" xfId="853" builtinId="36" hidden="1"/>
    <cellStyle name="60% - Accent2" xfId="905" builtinId="36" hidden="1"/>
    <cellStyle name="60% - Accent2" xfId="951" builtinId="36" hidden="1"/>
    <cellStyle name="60% - Accent2" xfId="995" builtinId="36" hidden="1"/>
    <cellStyle name="60% - Accent2" xfId="1040" builtinId="36" hidden="1"/>
    <cellStyle name="60% - Accent2" xfId="1085" builtinId="36" hidden="1"/>
    <cellStyle name="60% - Accent2" xfId="1135" builtinId="36" hidden="1"/>
    <cellStyle name="60% - Accent2" xfId="1183" builtinId="36" hidden="1"/>
    <cellStyle name="60% - Accent2" xfId="1230" builtinId="36" hidden="1"/>
    <cellStyle name="60% - Accent2" xfId="1273" builtinId="36" hidden="1"/>
    <cellStyle name="60% - Accent2" xfId="1317" builtinId="36" hidden="1"/>
    <cellStyle name="60% - Accent2" xfId="1353" builtinId="36" hidden="1"/>
    <cellStyle name="60% - Accent2" xfId="1397" builtinId="36" hidden="1"/>
    <cellStyle name="60% - Accent2" xfId="1444" builtinId="36" hidden="1"/>
    <cellStyle name="60% - Accent2" xfId="1490" builtinId="36" hidden="1"/>
    <cellStyle name="60% - Accent2" xfId="1533" builtinId="36" hidden="1"/>
    <cellStyle name="60% - Accent2" xfId="1577" builtinId="36" hidden="1"/>
    <cellStyle name="60% - Accent2" xfId="1615" builtinId="36" hidden="1"/>
    <cellStyle name="60% - Accent2" xfId="1669" builtinId="36" hidden="1"/>
    <cellStyle name="60% - Accent2" xfId="1724" builtinId="36" hidden="1"/>
    <cellStyle name="60% - Accent2" xfId="1768" builtinId="36" hidden="1"/>
    <cellStyle name="60% - Accent2" xfId="1813" builtinId="36" hidden="1"/>
    <cellStyle name="60% - Accent2" xfId="1858" builtinId="36" hidden="1"/>
    <cellStyle name="60% - Accent2" xfId="1908" builtinId="36" hidden="1"/>
    <cellStyle name="60% - Accent2" xfId="1962" builtinId="36" hidden="1"/>
    <cellStyle name="60% - Accent2" xfId="2009" builtinId="36" hidden="1"/>
    <cellStyle name="60% - Accent2" xfId="2052" builtinId="36" hidden="1"/>
    <cellStyle name="60% - Accent2" xfId="2096" builtinId="36" hidden="1"/>
    <cellStyle name="60% - Accent2" xfId="2132" builtinId="36" hidden="1"/>
    <cellStyle name="60% - Accent2" xfId="2176" builtinId="36" hidden="1"/>
    <cellStyle name="60% - Accent2" xfId="2223" builtinId="36" hidden="1"/>
    <cellStyle name="60% - Accent2" xfId="2269" builtinId="36" hidden="1"/>
    <cellStyle name="60% - Accent2" xfId="2312" builtinId="36" hidden="1"/>
    <cellStyle name="60% - Accent2" xfId="2356" builtinId="36" hidden="1"/>
    <cellStyle name="60% - Accent2" xfId="1701" builtinId="36" hidden="1"/>
    <cellStyle name="60% - Accent2" xfId="2404" builtinId="36" hidden="1"/>
    <cellStyle name="60% - Accent2" xfId="2449" builtinId="36" hidden="1"/>
    <cellStyle name="60% - Accent2" xfId="2493" builtinId="36" hidden="1"/>
    <cellStyle name="60% - Accent2" xfId="2538" builtinId="36" hidden="1"/>
    <cellStyle name="60% - Accent2" xfId="2583" builtinId="36" hidden="1"/>
    <cellStyle name="60% - Accent2" xfId="2632" builtinId="36" hidden="1"/>
    <cellStyle name="60% - Accent2" xfId="2679" builtinId="36" hidden="1"/>
    <cellStyle name="60% - Accent2" xfId="2725" builtinId="36" hidden="1"/>
    <cellStyle name="60% - Accent2" xfId="2768" builtinId="36" hidden="1"/>
    <cellStyle name="60% - Accent2" xfId="2812" builtinId="36" hidden="1"/>
    <cellStyle name="60% - Accent2" xfId="2848" builtinId="36" hidden="1"/>
    <cellStyle name="60% - Accent2" xfId="2892" builtinId="36" hidden="1"/>
    <cellStyle name="60% - Accent2" xfId="2939" builtinId="36" hidden="1"/>
    <cellStyle name="60% - Accent2" xfId="2985" builtinId="36" hidden="1"/>
    <cellStyle name="60% - Accent2" xfId="3028" builtinId="36" hidden="1"/>
    <cellStyle name="60% - Accent2" xfId="3072" builtinId="36" hidden="1"/>
    <cellStyle name="60% - Accent3" xfId="30" builtinId="40" hidden="1"/>
    <cellStyle name="60% - Accent3" xfId="84" builtinId="40" hidden="1"/>
    <cellStyle name="60% - Accent3" xfId="139" builtinId="40" hidden="1"/>
    <cellStyle name="60% - Accent3" xfId="183" builtinId="40" hidden="1"/>
    <cellStyle name="60% - Accent3" xfId="228" builtinId="40" hidden="1"/>
    <cellStyle name="60% - Accent3" xfId="273" builtinId="40" hidden="1"/>
    <cellStyle name="60% - Accent3" xfId="323" builtinId="40" hidden="1"/>
    <cellStyle name="60% - Accent3" xfId="377" builtinId="40" hidden="1"/>
    <cellStyle name="60% - Accent3" xfId="425" builtinId="40" hidden="1"/>
    <cellStyle name="60% - Accent3" xfId="468" builtinId="40" hidden="1"/>
    <cellStyle name="60% - Accent3" xfId="512" builtinId="40" hidden="1"/>
    <cellStyle name="60% - Accent3" xfId="548" builtinId="40" hidden="1"/>
    <cellStyle name="60% - Accent3" xfId="592" builtinId="40" hidden="1"/>
    <cellStyle name="60% - Accent3" xfId="639" builtinId="40" hidden="1"/>
    <cellStyle name="60% - Accent3" xfId="685" builtinId="40" hidden="1"/>
    <cellStyle name="60% - Accent3" xfId="728" builtinId="40" hidden="1"/>
    <cellStyle name="60% - Accent3" xfId="772" builtinId="40" hidden="1"/>
    <cellStyle name="60% - Accent3" xfId="815" builtinId="40" hidden="1"/>
    <cellStyle name="60% - Accent3" xfId="857" builtinId="40" hidden="1"/>
    <cellStyle name="60% - Accent3" xfId="909" builtinId="40" hidden="1"/>
    <cellStyle name="60% - Accent3" xfId="955" builtinId="40" hidden="1"/>
    <cellStyle name="60% - Accent3" xfId="999" builtinId="40" hidden="1"/>
    <cellStyle name="60% - Accent3" xfId="1044" builtinId="40" hidden="1"/>
    <cellStyle name="60% - Accent3" xfId="1089" builtinId="40" hidden="1"/>
    <cellStyle name="60% - Accent3" xfId="1139" builtinId="40" hidden="1"/>
    <cellStyle name="60% - Accent3" xfId="1187" builtinId="40" hidden="1"/>
    <cellStyle name="60% - Accent3" xfId="1234" builtinId="40" hidden="1"/>
    <cellStyle name="60% - Accent3" xfId="1277" builtinId="40" hidden="1"/>
    <cellStyle name="60% - Accent3" xfId="1321" builtinId="40" hidden="1"/>
    <cellStyle name="60% - Accent3" xfId="1357" builtinId="40" hidden="1"/>
    <cellStyle name="60% - Accent3" xfId="1401" builtinId="40" hidden="1"/>
    <cellStyle name="60% - Accent3" xfId="1448" builtinId="40" hidden="1"/>
    <cellStyle name="60% - Accent3" xfId="1494" builtinId="40" hidden="1"/>
    <cellStyle name="60% - Accent3" xfId="1537" builtinId="40" hidden="1"/>
    <cellStyle name="60% - Accent3" xfId="1581" builtinId="40" hidden="1"/>
    <cellStyle name="60% - Accent3" xfId="1619" builtinId="40" hidden="1"/>
    <cellStyle name="60% - Accent3" xfId="1673" builtinId="40" hidden="1"/>
    <cellStyle name="60% - Accent3" xfId="1728" builtinId="40" hidden="1"/>
    <cellStyle name="60% - Accent3" xfId="1772" builtinId="40" hidden="1"/>
    <cellStyle name="60% - Accent3" xfId="1817" builtinId="40" hidden="1"/>
    <cellStyle name="60% - Accent3" xfId="1862" builtinId="40" hidden="1"/>
    <cellStyle name="60% - Accent3" xfId="1912" builtinId="40" hidden="1"/>
    <cellStyle name="60% - Accent3" xfId="1966" builtinId="40" hidden="1"/>
    <cellStyle name="60% - Accent3" xfId="2013" builtinId="40" hidden="1"/>
    <cellStyle name="60% - Accent3" xfId="2056" builtinId="40" hidden="1"/>
    <cellStyle name="60% - Accent3" xfId="2100" builtinId="40" hidden="1"/>
    <cellStyle name="60% - Accent3" xfId="2136" builtinId="40" hidden="1"/>
    <cellStyle name="60% - Accent3" xfId="2180" builtinId="40" hidden="1"/>
    <cellStyle name="60% - Accent3" xfId="2227" builtinId="40" hidden="1"/>
    <cellStyle name="60% - Accent3" xfId="2273" builtinId="40" hidden="1"/>
    <cellStyle name="60% - Accent3" xfId="2316" builtinId="40" hidden="1"/>
    <cellStyle name="60% - Accent3" xfId="2360" builtinId="40" hidden="1"/>
    <cellStyle name="60% - Accent3" xfId="2262" builtinId="40" hidden="1"/>
    <cellStyle name="60% - Accent3" xfId="2408" builtinId="40" hidden="1"/>
    <cellStyle name="60% - Accent3" xfId="2453" builtinId="40" hidden="1"/>
    <cellStyle name="60% - Accent3" xfId="2497" builtinId="40" hidden="1"/>
    <cellStyle name="60% - Accent3" xfId="2542" builtinId="40" hidden="1"/>
    <cellStyle name="60% - Accent3" xfId="2587" builtinId="40" hidden="1"/>
    <cellStyle name="60% - Accent3" xfId="2636" builtinId="40" hidden="1"/>
    <cellStyle name="60% - Accent3" xfId="2683" builtinId="40" hidden="1"/>
    <cellStyle name="60% - Accent3" xfId="2729" builtinId="40" hidden="1"/>
    <cellStyle name="60% - Accent3" xfId="2772" builtinId="40" hidden="1"/>
    <cellStyle name="60% - Accent3" xfId="2816" builtinId="40" hidden="1"/>
    <cellStyle name="60% - Accent3" xfId="2852" builtinId="40" hidden="1"/>
    <cellStyle name="60% - Accent3" xfId="2896" builtinId="40" hidden="1"/>
    <cellStyle name="60% - Accent3" xfId="2943" builtinId="40" hidden="1"/>
    <cellStyle name="60% - Accent3" xfId="2989" builtinId="40" hidden="1"/>
    <cellStyle name="60% - Accent3" xfId="3032" builtinId="40" hidden="1"/>
    <cellStyle name="60% - Accent3" xfId="3076" builtinId="40" hidden="1"/>
    <cellStyle name="60% - Accent4" xfId="34" builtinId="44" hidden="1"/>
    <cellStyle name="60% - Accent4" xfId="88" builtinId="44" hidden="1"/>
    <cellStyle name="60% - Accent4" xfId="143" builtinId="44" hidden="1"/>
    <cellStyle name="60% - Accent4" xfId="187" builtinId="44" hidden="1"/>
    <cellStyle name="60% - Accent4" xfId="232" builtinId="44" hidden="1"/>
    <cellStyle name="60% - Accent4" xfId="277" builtinId="44" hidden="1"/>
    <cellStyle name="60% - Accent4" xfId="327" builtinId="44" hidden="1"/>
    <cellStyle name="60% - Accent4" xfId="381" builtinId="44" hidden="1"/>
    <cellStyle name="60% - Accent4" xfId="429" builtinId="44" hidden="1"/>
    <cellStyle name="60% - Accent4" xfId="472" builtinId="44" hidden="1"/>
    <cellStyle name="60% - Accent4" xfId="516" builtinId="44" hidden="1"/>
    <cellStyle name="60% - Accent4" xfId="552" builtinId="44" hidden="1"/>
    <cellStyle name="60% - Accent4" xfId="596" builtinId="44" hidden="1"/>
    <cellStyle name="60% - Accent4" xfId="643" builtinId="44" hidden="1"/>
    <cellStyle name="60% - Accent4" xfId="689" builtinId="44" hidden="1"/>
    <cellStyle name="60% - Accent4" xfId="732" builtinId="44" hidden="1"/>
    <cellStyle name="60% - Accent4" xfId="776" builtinId="44" hidden="1"/>
    <cellStyle name="60% - Accent4" xfId="819" builtinId="44" hidden="1"/>
    <cellStyle name="60% - Accent4" xfId="861" builtinId="44" hidden="1"/>
    <cellStyle name="60% - Accent4" xfId="913" builtinId="44" hidden="1"/>
    <cellStyle name="60% - Accent4" xfId="959" builtinId="44" hidden="1"/>
    <cellStyle name="60% - Accent4" xfId="1003" builtinId="44" hidden="1"/>
    <cellStyle name="60% - Accent4" xfId="1048" builtinId="44" hidden="1"/>
    <cellStyle name="60% - Accent4" xfId="1093" builtinId="44" hidden="1"/>
    <cellStyle name="60% - Accent4" xfId="1143" builtinId="44" hidden="1"/>
    <cellStyle name="60% - Accent4" xfId="1191" builtinId="44" hidden="1"/>
    <cellStyle name="60% - Accent4" xfId="1238" builtinId="44" hidden="1"/>
    <cellStyle name="60% - Accent4" xfId="1281" builtinId="44" hidden="1"/>
    <cellStyle name="60% - Accent4" xfId="1325" builtinId="44" hidden="1"/>
    <cellStyle name="60% - Accent4" xfId="1361" builtinId="44" hidden="1"/>
    <cellStyle name="60% - Accent4" xfId="1405" builtinId="44" hidden="1"/>
    <cellStyle name="60% - Accent4" xfId="1452" builtinId="44" hidden="1"/>
    <cellStyle name="60% - Accent4" xfId="1498" builtinId="44" hidden="1"/>
    <cellStyle name="60% - Accent4" xfId="1541" builtinId="44" hidden="1"/>
    <cellStyle name="60% - Accent4" xfId="1585" builtinId="44" hidden="1"/>
    <cellStyle name="60% - Accent4" xfId="1623" builtinId="44" hidden="1"/>
    <cellStyle name="60% - Accent4" xfId="1677" builtinId="44" hidden="1"/>
    <cellStyle name="60% - Accent4" xfId="1732" builtinId="44" hidden="1"/>
    <cellStyle name="60% - Accent4" xfId="1776" builtinId="44" hidden="1"/>
    <cellStyle name="60% - Accent4" xfId="1821" builtinId="44" hidden="1"/>
    <cellStyle name="60% - Accent4" xfId="1866" builtinId="44" hidden="1"/>
    <cellStyle name="60% - Accent4" xfId="1916" builtinId="44" hidden="1"/>
    <cellStyle name="60% - Accent4" xfId="1970" builtinId="44" hidden="1"/>
    <cellStyle name="60% - Accent4" xfId="2017" builtinId="44" hidden="1"/>
    <cellStyle name="60% - Accent4" xfId="2060" builtinId="44" hidden="1"/>
    <cellStyle name="60% - Accent4" xfId="2104" builtinId="44" hidden="1"/>
    <cellStyle name="60% - Accent4" xfId="2140" builtinId="44" hidden="1"/>
    <cellStyle name="60% - Accent4" xfId="2184" builtinId="44" hidden="1"/>
    <cellStyle name="60% - Accent4" xfId="2231" builtinId="44" hidden="1"/>
    <cellStyle name="60% - Accent4" xfId="2277" builtinId="44" hidden="1"/>
    <cellStyle name="60% - Accent4" xfId="2320" builtinId="44" hidden="1"/>
    <cellStyle name="60% - Accent4" xfId="2364" builtinId="44" hidden="1"/>
    <cellStyle name="60% - Accent4" xfId="2089" builtinId="44" hidden="1"/>
    <cellStyle name="60% - Accent4" xfId="2412" builtinId="44" hidden="1"/>
    <cellStyle name="60% - Accent4" xfId="2457" builtinId="44" hidden="1"/>
    <cellStyle name="60% - Accent4" xfId="2501" builtinId="44" hidden="1"/>
    <cellStyle name="60% - Accent4" xfId="2546" builtinId="44" hidden="1"/>
    <cellStyle name="60% - Accent4" xfId="2591" builtinId="44" hidden="1"/>
    <cellStyle name="60% - Accent4" xfId="2640" builtinId="44" hidden="1"/>
    <cellStyle name="60% - Accent4" xfId="2687" builtinId="44" hidden="1"/>
    <cellStyle name="60% - Accent4" xfId="2733" builtinId="44" hidden="1"/>
    <cellStyle name="60% - Accent4" xfId="2776" builtinId="44" hidden="1"/>
    <cellStyle name="60% - Accent4" xfId="2820" builtinId="44" hidden="1"/>
    <cellStyle name="60% - Accent4" xfId="2856" builtinId="44" hidden="1"/>
    <cellStyle name="60% - Accent4" xfId="2900" builtinId="44" hidden="1"/>
    <cellStyle name="60% - Accent4" xfId="2947" builtinId="44" hidden="1"/>
    <cellStyle name="60% - Accent4" xfId="2993" builtinId="44" hidden="1"/>
    <cellStyle name="60% - Accent4" xfId="3036" builtinId="44" hidden="1"/>
    <cellStyle name="60% - Accent4" xfId="3080" builtinId="44" hidden="1"/>
    <cellStyle name="60% - Accent5" xfId="38" builtinId="48" hidden="1"/>
    <cellStyle name="60% - Accent5" xfId="92" builtinId="48" hidden="1"/>
    <cellStyle name="60% - Accent5" xfId="147" builtinId="48" hidden="1"/>
    <cellStyle name="60% - Accent5" xfId="191" builtinId="48" hidden="1"/>
    <cellStyle name="60% - Accent5" xfId="236" builtinId="48" hidden="1"/>
    <cellStyle name="60% - Accent5" xfId="281" builtinId="48" hidden="1"/>
    <cellStyle name="60% - Accent5" xfId="331" builtinId="48" hidden="1"/>
    <cellStyle name="60% - Accent5" xfId="385" builtinId="48" hidden="1"/>
    <cellStyle name="60% - Accent5" xfId="433" builtinId="48" hidden="1"/>
    <cellStyle name="60% - Accent5" xfId="476" builtinId="48" hidden="1"/>
    <cellStyle name="60% - Accent5" xfId="520" builtinId="48" hidden="1"/>
    <cellStyle name="60% - Accent5" xfId="556" builtinId="48" hidden="1"/>
    <cellStyle name="60% - Accent5" xfId="600" builtinId="48" hidden="1"/>
    <cellStyle name="60% - Accent5" xfId="647" builtinId="48" hidden="1"/>
    <cellStyle name="60% - Accent5" xfId="693" builtinId="48" hidden="1"/>
    <cellStyle name="60% - Accent5" xfId="736" builtinId="48" hidden="1"/>
    <cellStyle name="60% - Accent5" xfId="780" builtinId="48" hidden="1"/>
    <cellStyle name="60% - Accent5" xfId="823" builtinId="48" hidden="1"/>
    <cellStyle name="60% - Accent5" xfId="865" builtinId="48" hidden="1"/>
    <cellStyle name="60% - Accent5" xfId="917" builtinId="48" hidden="1"/>
    <cellStyle name="60% - Accent5" xfId="963" builtinId="48" hidden="1"/>
    <cellStyle name="60% - Accent5" xfId="1007" builtinId="48" hidden="1"/>
    <cellStyle name="60% - Accent5" xfId="1052" builtinId="48" hidden="1"/>
    <cellStyle name="60% - Accent5" xfId="1097" builtinId="48" hidden="1"/>
    <cellStyle name="60% - Accent5" xfId="1147" builtinId="48" hidden="1"/>
    <cellStyle name="60% - Accent5" xfId="1195" builtinId="48" hidden="1"/>
    <cellStyle name="60% - Accent5" xfId="1242" builtinId="48" hidden="1"/>
    <cellStyle name="60% - Accent5" xfId="1285" builtinId="48" hidden="1"/>
    <cellStyle name="60% - Accent5" xfId="1329" builtinId="48" hidden="1"/>
    <cellStyle name="60% - Accent5" xfId="1365" builtinId="48" hidden="1"/>
    <cellStyle name="60% - Accent5" xfId="1409" builtinId="48" hidden="1"/>
    <cellStyle name="60% - Accent5" xfId="1456" builtinId="48" hidden="1"/>
    <cellStyle name="60% - Accent5" xfId="1502" builtinId="48" hidden="1"/>
    <cellStyle name="60% - Accent5" xfId="1545" builtinId="48" hidden="1"/>
    <cellStyle name="60% - Accent5" xfId="1589" builtinId="48" hidden="1"/>
    <cellStyle name="60% - Accent5" xfId="1627" builtinId="48" hidden="1"/>
    <cellStyle name="60% - Accent5" xfId="1681" builtinId="48" hidden="1"/>
    <cellStyle name="60% - Accent5" xfId="1736" builtinId="48" hidden="1"/>
    <cellStyle name="60% - Accent5" xfId="1780" builtinId="48" hidden="1"/>
    <cellStyle name="60% - Accent5" xfId="1825" builtinId="48" hidden="1"/>
    <cellStyle name="60% - Accent5" xfId="1870" builtinId="48" hidden="1"/>
    <cellStyle name="60% - Accent5" xfId="1920" builtinId="48" hidden="1"/>
    <cellStyle name="60% - Accent5" xfId="1974" builtinId="48" hidden="1"/>
    <cellStyle name="60% - Accent5" xfId="2021" builtinId="48" hidden="1"/>
    <cellStyle name="60% - Accent5" xfId="2064" builtinId="48" hidden="1"/>
    <cellStyle name="60% - Accent5" xfId="2108" builtinId="48" hidden="1"/>
    <cellStyle name="60% - Accent5" xfId="2144" builtinId="48" hidden="1"/>
    <cellStyle name="60% - Accent5" xfId="2188" builtinId="48" hidden="1"/>
    <cellStyle name="60% - Accent5" xfId="2235" builtinId="48" hidden="1"/>
    <cellStyle name="60% - Accent5" xfId="2281" builtinId="48" hidden="1"/>
    <cellStyle name="60% - Accent5" xfId="2324" builtinId="48" hidden="1"/>
    <cellStyle name="60% - Accent5" xfId="2368" builtinId="48" hidden="1"/>
    <cellStyle name="60% - Accent5" xfId="1901" builtinId="48" hidden="1"/>
    <cellStyle name="60% - Accent5" xfId="2416" builtinId="48" hidden="1"/>
    <cellStyle name="60% - Accent5" xfId="2461" builtinId="48" hidden="1"/>
    <cellStyle name="60% - Accent5" xfId="2505" builtinId="48" hidden="1"/>
    <cellStyle name="60% - Accent5" xfId="2550" builtinId="48" hidden="1"/>
    <cellStyle name="60% - Accent5" xfId="2595" builtinId="48" hidden="1"/>
    <cellStyle name="60% - Accent5" xfId="2644" builtinId="48" hidden="1"/>
    <cellStyle name="60% - Accent5" xfId="2691" builtinId="48" hidden="1"/>
    <cellStyle name="60% - Accent5" xfId="2737" builtinId="48" hidden="1"/>
    <cellStyle name="60% - Accent5" xfId="2780" builtinId="48" hidden="1"/>
    <cellStyle name="60% - Accent5" xfId="2824" builtinId="48" hidden="1"/>
    <cellStyle name="60% - Accent5" xfId="2860" builtinId="48" hidden="1"/>
    <cellStyle name="60% - Accent5" xfId="2904" builtinId="48" hidden="1"/>
    <cellStyle name="60% - Accent5" xfId="2951" builtinId="48" hidden="1"/>
    <cellStyle name="60% - Accent5" xfId="2997" builtinId="48" hidden="1"/>
    <cellStyle name="60% - Accent5" xfId="3040" builtinId="48" hidden="1"/>
    <cellStyle name="60% - Accent5" xfId="3084" builtinId="48" hidden="1"/>
    <cellStyle name="60% - Accent6" xfId="42" builtinId="52" hidden="1"/>
    <cellStyle name="60% - Accent6" xfId="96" builtinId="52" hidden="1"/>
    <cellStyle name="60% - Accent6" xfId="151" builtinId="52" hidden="1"/>
    <cellStyle name="60% - Accent6" xfId="195" builtinId="52" hidden="1"/>
    <cellStyle name="60% - Accent6" xfId="240" builtinId="52" hidden="1"/>
    <cellStyle name="60% - Accent6" xfId="285" builtinId="52" hidden="1"/>
    <cellStyle name="60% - Accent6" xfId="335" builtinId="52" hidden="1"/>
    <cellStyle name="60% - Accent6" xfId="389" builtinId="52" hidden="1"/>
    <cellStyle name="60% - Accent6" xfId="437" builtinId="52" hidden="1"/>
    <cellStyle name="60% - Accent6" xfId="480" builtinId="52" hidden="1"/>
    <cellStyle name="60% - Accent6" xfId="524" builtinId="52" hidden="1"/>
    <cellStyle name="60% - Accent6" xfId="560" builtinId="52" hidden="1"/>
    <cellStyle name="60% - Accent6" xfId="604" builtinId="52" hidden="1"/>
    <cellStyle name="60% - Accent6" xfId="651" builtinId="52" hidden="1"/>
    <cellStyle name="60% - Accent6" xfId="697" builtinId="52" hidden="1"/>
    <cellStyle name="60% - Accent6" xfId="740" builtinId="52" hidden="1"/>
    <cellStyle name="60% - Accent6" xfId="784" builtinId="52" hidden="1"/>
    <cellStyle name="60% - Accent6" xfId="827" builtinId="52" hidden="1"/>
    <cellStyle name="60% - Accent6" xfId="869" builtinId="52" hidden="1"/>
    <cellStyle name="60% - Accent6" xfId="921" builtinId="52" hidden="1"/>
    <cellStyle name="60% - Accent6" xfId="967" builtinId="52" hidden="1"/>
    <cellStyle name="60% - Accent6" xfId="1011" builtinId="52" hidden="1"/>
    <cellStyle name="60% - Accent6" xfId="1056" builtinId="52" hidden="1"/>
    <cellStyle name="60% - Accent6" xfId="1101" builtinId="52" hidden="1"/>
    <cellStyle name="60% - Accent6" xfId="1151" builtinId="52" hidden="1"/>
    <cellStyle name="60% - Accent6" xfId="1199" builtinId="52" hidden="1"/>
    <cellStyle name="60% - Accent6" xfId="1246" builtinId="52" hidden="1"/>
    <cellStyle name="60% - Accent6" xfId="1289" builtinId="52" hidden="1"/>
    <cellStyle name="60% - Accent6" xfId="1333" builtinId="52" hidden="1"/>
    <cellStyle name="60% - Accent6" xfId="1369" builtinId="52" hidden="1"/>
    <cellStyle name="60% - Accent6" xfId="1413" builtinId="52" hidden="1"/>
    <cellStyle name="60% - Accent6" xfId="1460" builtinId="52" hidden="1"/>
    <cellStyle name="60% - Accent6" xfId="1506" builtinId="52" hidden="1"/>
    <cellStyle name="60% - Accent6" xfId="1549" builtinId="52" hidden="1"/>
    <cellStyle name="60% - Accent6" xfId="1593" builtinId="52" hidden="1"/>
    <cellStyle name="60% - Accent6" xfId="1631" builtinId="52" hidden="1"/>
    <cellStyle name="60% - Accent6" xfId="1685" builtinId="52" hidden="1"/>
    <cellStyle name="60% - Accent6" xfId="1740" builtinId="52" hidden="1"/>
    <cellStyle name="60% - Accent6" xfId="1784" builtinId="52" hidden="1"/>
    <cellStyle name="60% - Accent6" xfId="1829" builtinId="52" hidden="1"/>
    <cellStyle name="60% - Accent6" xfId="1874" builtinId="52" hidden="1"/>
    <cellStyle name="60% - Accent6" xfId="1924" builtinId="52" hidden="1"/>
    <cellStyle name="60% - Accent6" xfId="1978" builtinId="52" hidden="1"/>
    <cellStyle name="60% - Accent6" xfId="2025" builtinId="52" hidden="1"/>
    <cellStyle name="60% - Accent6" xfId="2068" builtinId="52" hidden="1"/>
    <cellStyle name="60% - Accent6" xfId="2112" builtinId="52" hidden="1"/>
    <cellStyle name="60% - Accent6" xfId="2148" builtinId="52" hidden="1"/>
    <cellStyle name="60% - Accent6" xfId="2192" builtinId="52" hidden="1"/>
    <cellStyle name="60% - Accent6" xfId="2239" builtinId="52" hidden="1"/>
    <cellStyle name="60% - Accent6" xfId="2285" builtinId="52" hidden="1"/>
    <cellStyle name="60% - Accent6" xfId="2328" builtinId="52" hidden="1"/>
    <cellStyle name="60% - Accent6" xfId="2372" builtinId="52" hidden="1"/>
    <cellStyle name="60% - Accent6" xfId="1717" builtinId="52" hidden="1"/>
    <cellStyle name="60% - Accent6" xfId="2420" builtinId="52" hidden="1"/>
    <cellStyle name="60% - Accent6" xfId="2465" builtinId="52" hidden="1"/>
    <cellStyle name="60% - Accent6" xfId="2509" builtinId="52" hidden="1"/>
    <cellStyle name="60% - Accent6" xfId="2554" builtinId="52" hidden="1"/>
    <cellStyle name="60% - Accent6" xfId="2599" builtinId="52" hidden="1"/>
    <cellStyle name="60% - Accent6" xfId="2648" builtinId="52" hidden="1"/>
    <cellStyle name="60% - Accent6" xfId="2695" builtinId="52" hidden="1"/>
    <cellStyle name="60% - Accent6" xfId="2741" builtinId="52" hidden="1"/>
    <cellStyle name="60% - Accent6" xfId="2784" builtinId="52" hidden="1"/>
    <cellStyle name="60% - Accent6" xfId="2828" builtinId="52" hidden="1"/>
    <cellStyle name="60% - Accent6" xfId="2864" builtinId="52" hidden="1"/>
    <cellStyle name="60% - Accent6" xfId="2908" builtinId="52" hidden="1"/>
    <cellStyle name="60% - Accent6" xfId="2955" builtinId="52" hidden="1"/>
    <cellStyle name="60% - Accent6" xfId="3001" builtinId="52" hidden="1"/>
    <cellStyle name="60% - Accent6" xfId="3044" builtinId="52" hidden="1"/>
    <cellStyle name="60% - Accent6" xfId="3088" builtinId="52" hidden="1"/>
    <cellStyle name="Accent1" xfId="19" builtinId="29" hidden="1" customBuiltin="1"/>
    <cellStyle name="Accent1" xfId="73" builtinId="29" hidden="1" customBuiltin="1"/>
    <cellStyle name="Accent1" xfId="128" builtinId="29" hidden="1" customBuiltin="1"/>
    <cellStyle name="Accent1" xfId="172" builtinId="29" hidden="1" customBuiltin="1"/>
    <cellStyle name="Accent1" xfId="217" builtinId="29" hidden="1" customBuiltin="1"/>
    <cellStyle name="Accent1" xfId="262" builtinId="29" hidden="1" customBuiltin="1"/>
    <cellStyle name="Accent1" xfId="312" builtinId="29" hidden="1" customBuiltin="1"/>
    <cellStyle name="Accent1" xfId="366" builtinId="29" hidden="1" customBuiltin="1"/>
    <cellStyle name="Accent1" xfId="414" builtinId="29" hidden="1" customBuiltin="1"/>
    <cellStyle name="Accent1" xfId="457" builtinId="29" hidden="1" customBuiltin="1"/>
    <cellStyle name="Accent1" xfId="501" builtinId="29" hidden="1" customBuiltin="1"/>
    <cellStyle name="Accent1" xfId="537" builtinId="29" hidden="1" customBuiltin="1"/>
    <cellStyle name="Accent1" xfId="581" builtinId="29" hidden="1" customBuiltin="1"/>
    <cellStyle name="Accent1" xfId="628" builtinId="29" hidden="1" customBuiltin="1"/>
    <cellStyle name="Accent1" xfId="674" builtinId="29" hidden="1" customBuiltin="1"/>
    <cellStyle name="Accent1" xfId="717" builtinId="29" hidden="1" customBuiltin="1"/>
    <cellStyle name="Accent1" xfId="761" builtinId="29" hidden="1" customBuiltin="1"/>
    <cellStyle name="Accent1" xfId="804" builtinId="29" customBuiltin="1"/>
    <cellStyle name="Accent1 10" xfId="1223" hidden="1"/>
    <cellStyle name="Accent1 10" xfId="2718"/>
    <cellStyle name="Accent1 11" xfId="1266" hidden="1"/>
    <cellStyle name="Accent1 11" xfId="2761"/>
    <cellStyle name="Accent1 12" xfId="1310" hidden="1"/>
    <cellStyle name="Accent1 12" xfId="2805"/>
    <cellStyle name="Accent1 13" xfId="1346" hidden="1"/>
    <cellStyle name="Accent1 13" xfId="2841"/>
    <cellStyle name="Accent1 14" xfId="1390" hidden="1"/>
    <cellStyle name="Accent1 14" xfId="2885"/>
    <cellStyle name="Accent1 15" xfId="1437" hidden="1"/>
    <cellStyle name="Accent1 15" xfId="2932"/>
    <cellStyle name="Accent1 16" xfId="1483" hidden="1"/>
    <cellStyle name="Accent1 16" xfId="2978"/>
    <cellStyle name="Accent1 17" xfId="1526" hidden="1"/>
    <cellStyle name="Accent1 17" xfId="3021"/>
    <cellStyle name="Accent1 18" xfId="1570" hidden="1"/>
    <cellStyle name="Accent1 18" xfId="3065"/>
    <cellStyle name="Accent1 2" xfId="846" hidden="1"/>
    <cellStyle name="Accent1 2" xfId="1693"/>
    <cellStyle name="Accent1 3" xfId="898" hidden="1"/>
    <cellStyle name="Accent1 3" xfId="2397"/>
    <cellStyle name="Accent1 4" xfId="944" hidden="1"/>
    <cellStyle name="Accent1 4" xfId="2442"/>
    <cellStyle name="Accent1 5" xfId="988" hidden="1"/>
    <cellStyle name="Accent1 5" xfId="2486"/>
    <cellStyle name="Accent1 6" xfId="1033" hidden="1"/>
    <cellStyle name="Accent1 6" xfId="2531"/>
    <cellStyle name="Accent1 7" xfId="1078" hidden="1"/>
    <cellStyle name="Accent1 7" xfId="2576"/>
    <cellStyle name="Accent1 8" xfId="1128" hidden="1"/>
    <cellStyle name="Accent1 8" xfId="2625"/>
    <cellStyle name="Accent1 9" xfId="1176" hidden="1"/>
    <cellStyle name="Accent1 9" xfId="2672"/>
    <cellStyle name="Accent2" xfId="23" builtinId="33" hidden="1"/>
    <cellStyle name="Accent2" xfId="77" builtinId="33" hidden="1"/>
    <cellStyle name="Accent2" xfId="132" builtinId="33" hidden="1"/>
    <cellStyle name="Accent2" xfId="176" builtinId="33" hidden="1"/>
    <cellStyle name="Accent2" xfId="221" builtinId="33" hidden="1"/>
    <cellStyle name="Accent2" xfId="266" builtinId="33" hidden="1"/>
    <cellStyle name="Accent2" xfId="316" builtinId="33" hidden="1"/>
    <cellStyle name="Accent2" xfId="370" builtinId="33" hidden="1"/>
    <cellStyle name="Accent2" xfId="418" builtinId="33" hidden="1"/>
    <cellStyle name="Accent2" xfId="461" builtinId="33" hidden="1"/>
    <cellStyle name="Accent2" xfId="505" builtinId="33" hidden="1"/>
    <cellStyle name="Accent2" xfId="541" builtinId="33" hidden="1"/>
    <cellStyle name="Accent2" xfId="585" builtinId="33" hidden="1"/>
    <cellStyle name="Accent2" xfId="632" builtinId="33" hidden="1"/>
    <cellStyle name="Accent2" xfId="678" builtinId="33" hidden="1"/>
    <cellStyle name="Accent2" xfId="721" builtinId="33" hidden="1"/>
    <cellStyle name="Accent2" xfId="765" builtinId="33" hidden="1"/>
    <cellStyle name="Accent2" xfId="808" builtinId="33" hidden="1"/>
    <cellStyle name="Accent2" xfId="850" builtinId="33" hidden="1"/>
    <cellStyle name="Accent2" xfId="902" builtinId="33" hidden="1"/>
    <cellStyle name="Accent2" xfId="948" builtinId="33" hidden="1"/>
    <cellStyle name="Accent2" xfId="992" builtinId="33" hidden="1"/>
    <cellStyle name="Accent2" xfId="1037" builtinId="33" hidden="1"/>
    <cellStyle name="Accent2" xfId="1082" builtinId="33" hidden="1"/>
    <cellStyle name="Accent2" xfId="1132" builtinId="33" hidden="1"/>
    <cellStyle name="Accent2" xfId="1180" builtinId="33" hidden="1"/>
    <cellStyle name="Accent2" xfId="1227" builtinId="33" hidden="1"/>
    <cellStyle name="Accent2" xfId="1270" builtinId="33" hidden="1"/>
    <cellStyle name="Accent2" xfId="1314" builtinId="33" hidden="1"/>
    <cellStyle name="Accent2" xfId="1350" builtinId="33" hidden="1"/>
    <cellStyle name="Accent2" xfId="1394" builtinId="33" hidden="1"/>
    <cellStyle name="Accent2" xfId="1441" builtinId="33" hidden="1"/>
    <cellStyle name="Accent2" xfId="1487" builtinId="33" hidden="1"/>
    <cellStyle name="Accent2" xfId="1530" builtinId="33" hidden="1"/>
    <cellStyle name="Accent2" xfId="1574" builtinId="33" hidden="1"/>
    <cellStyle name="Accent2" xfId="1612" builtinId="33" hidden="1"/>
    <cellStyle name="Accent2" xfId="1666" builtinId="33" hidden="1"/>
    <cellStyle name="Accent2" xfId="1721" builtinId="33" hidden="1"/>
    <cellStyle name="Accent2" xfId="1765" builtinId="33" hidden="1"/>
    <cellStyle name="Accent2" xfId="1810" builtinId="33" hidden="1"/>
    <cellStyle name="Accent2" xfId="1855" builtinId="33" hidden="1"/>
    <cellStyle name="Accent2" xfId="1905" builtinId="33" hidden="1"/>
    <cellStyle name="Accent2" xfId="1959" builtinId="33" hidden="1"/>
    <cellStyle name="Accent2" xfId="2006" builtinId="33" hidden="1"/>
    <cellStyle name="Accent2" xfId="2049" builtinId="33" hidden="1"/>
    <cellStyle name="Accent2" xfId="2093" builtinId="33" hidden="1"/>
    <cellStyle name="Accent2" xfId="2129" builtinId="33" hidden="1"/>
    <cellStyle name="Accent2" xfId="2173" builtinId="33" hidden="1"/>
    <cellStyle name="Accent2" xfId="2220" builtinId="33" hidden="1"/>
    <cellStyle name="Accent2" xfId="2266" builtinId="33" hidden="1"/>
    <cellStyle name="Accent2" xfId="2309" builtinId="33" hidden="1"/>
    <cellStyle name="Accent2" xfId="2353" builtinId="33" hidden="1"/>
    <cellStyle name="Accent2" xfId="1637" builtinId="33" hidden="1"/>
    <cellStyle name="Accent2" xfId="2401" builtinId="33" hidden="1"/>
    <cellStyle name="Accent2" xfId="2446" builtinId="33" hidden="1"/>
    <cellStyle name="Accent2" xfId="2490" builtinId="33" hidden="1"/>
    <cellStyle name="Accent2" xfId="2535" builtinId="33" hidden="1"/>
    <cellStyle name="Accent2" xfId="2580" builtinId="33" hidden="1"/>
    <cellStyle name="Accent2" xfId="2629" builtinId="33" hidden="1"/>
    <cellStyle name="Accent2" xfId="2676" builtinId="33" hidden="1"/>
    <cellStyle name="Accent2" xfId="2722" builtinId="33" hidden="1"/>
    <cellStyle name="Accent2" xfId="2765" builtinId="33" hidden="1"/>
    <cellStyle name="Accent2" xfId="2809" builtinId="33" hidden="1"/>
    <cellStyle name="Accent2" xfId="2845" builtinId="33" hidden="1"/>
    <cellStyle name="Accent2" xfId="2889" builtinId="33" hidden="1"/>
    <cellStyle name="Accent2" xfId="2936" builtinId="33" hidden="1"/>
    <cellStyle name="Accent2" xfId="2982" builtinId="33" hidden="1"/>
    <cellStyle name="Accent2" xfId="3025" builtinId="33" hidden="1"/>
    <cellStyle name="Accent2" xfId="3069" builtinId="33" hidden="1"/>
    <cellStyle name="Accent3" xfId="27" builtinId="37" hidden="1"/>
    <cellStyle name="Accent3" xfId="81" builtinId="37" hidden="1"/>
    <cellStyle name="Accent3" xfId="136" builtinId="37" hidden="1"/>
    <cellStyle name="Accent3" xfId="180" builtinId="37" hidden="1"/>
    <cellStyle name="Accent3" xfId="225" builtinId="37" hidden="1"/>
    <cellStyle name="Accent3" xfId="270" builtinId="37" hidden="1"/>
    <cellStyle name="Accent3" xfId="320" builtinId="37" hidden="1"/>
    <cellStyle name="Accent3" xfId="374" builtinId="37" hidden="1"/>
    <cellStyle name="Accent3" xfId="422" builtinId="37" hidden="1"/>
    <cellStyle name="Accent3" xfId="465" builtinId="37" hidden="1"/>
    <cellStyle name="Accent3" xfId="509" builtinId="37" hidden="1"/>
    <cellStyle name="Accent3" xfId="545" builtinId="37" hidden="1"/>
    <cellStyle name="Accent3" xfId="589" builtinId="37" hidden="1"/>
    <cellStyle name="Accent3" xfId="636" builtinId="37" hidden="1"/>
    <cellStyle name="Accent3" xfId="682" builtinId="37" hidden="1"/>
    <cellStyle name="Accent3" xfId="725" builtinId="37" hidden="1"/>
    <cellStyle name="Accent3" xfId="769" builtinId="37" hidden="1"/>
    <cellStyle name="Accent3" xfId="812" builtinId="37" hidden="1"/>
    <cellStyle name="Accent3" xfId="854" builtinId="37" hidden="1"/>
    <cellStyle name="Accent3" xfId="906" builtinId="37" hidden="1"/>
    <cellStyle name="Accent3" xfId="952" builtinId="37" hidden="1"/>
    <cellStyle name="Accent3" xfId="996" builtinId="37" hidden="1"/>
    <cellStyle name="Accent3" xfId="1041" builtinId="37" hidden="1"/>
    <cellStyle name="Accent3" xfId="1086" builtinId="37" hidden="1"/>
    <cellStyle name="Accent3" xfId="1136" builtinId="37" hidden="1"/>
    <cellStyle name="Accent3" xfId="1184" builtinId="37" hidden="1"/>
    <cellStyle name="Accent3" xfId="1231" builtinId="37" hidden="1"/>
    <cellStyle name="Accent3" xfId="1274" builtinId="37" hidden="1"/>
    <cellStyle name="Accent3" xfId="1318" builtinId="37" hidden="1"/>
    <cellStyle name="Accent3" xfId="1354" builtinId="37" hidden="1"/>
    <cellStyle name="Accent3" xfId="1398" builtinId="37" hidden="1"/>
    <cellStyle name="Accent3" xfId="1445" builtinId="37" hidden="1"/>
    <cellStyle name="Accent3" xfId="1491" builtinId="37" hidden="1"/>
    <cellStyle name="Accent3" xfId="1534" builtinId="37" hidden="1"/>
    <cellStyle name="Accent3" xfId="1578" builtinId="37" hidden="1"/>
    <cellStyle name="Accent3" xfId="1616" builtinId="37" hidden="1"/>
    <cellStyle name="Accent3" xfId="1670" builtinId="37" hidden="1"/>
    <cellStyle name="Accent3" xfId="1725" builtinId="37" hidden="1"/>
    <cellStyle name="Accent3" xfId="1769" builtinId="37" hidden="1"/>
    <cellStyle name="Accent3" xfId="1814" builtinId="37" hidden="1"/>
    <cellStyle name="Accent3" xfId="1859" builtinId="37" hidden="1"/>
    <cellStyle name="Accent3" xfId="1909" builtinId="37" hidden="1"/>
    <cellStyle name="Accent3" xfId="1963" builtinId="37" hidden="1"/>
    <cellStyle name="Accent3" xfId="2010" builtinId="37" hidden="1"/>
    <cellStyle name="Accent3" xfId="2053" builtinId="37" hidden="1"/>
    <cellStyle name="Accent3" xfId="2097" builtinId="37" hidden="1"/>
    <cellStyle name="Accent3" xfId="2133" builtinId="37" hidden="1"/>
    <cellStyle name="Accent3" xfId="2177" builtinId="37" hidden="1"/>
    <cellStyle name="Accent3" xfId="2224" builtinId="37" hidden="1"/>
    <cellStyle name="Accent3" xfId="2270" builtinId="37" hidden="1"/>
    <cellStyle name="Accent3" xfId="2313" builtinId="37" hidden="1"/>
    <cellStyle name="Accent3" xfId="2357" builtinId="37" hidden="1"/>
    <cellStyle name="Accent3" xfId="876" builtinId="37" hidden="1"/>
    <cellStyle name="Accent3" xfId="2405" builtinId="37" hidden="1"/>
    <cellStyle name="Accent3" xfId="2450" builtinId="37" hidden="1"/>
    <cellStyle name="Accent3" xfId="2494" builtinId="37" hidden="1"/>
    <cellStyle name="Accent3" xfId="2539" builtinId="37" hidden="1"/>
    <cellStyle name="Accent3" xfId="2584" builtinId="37" hidden="1"/>
    <cellStyle name="Accent3" xfId="2633" builtinId="37" hidden="1"/>
    <cellStyle name="Accent3" xfId="2680" builtinId="37" hidden="1"/>
    <cellStyle name="Accent3" xfId="2726" builtinId="37" hidden="1"/>
    <cellStyle name="Accent3" xfId="2769" builtinId="37" hidden="1"/>
    <cellStyle name="Accent3" xfId="2813" builtinId="37" hidden="1"/>
    <cellStyle name="Accent3" xfId="2849" builtinId="37" hidden="1"/>
    <cellStyle name="Accent3" xfId="2893" builtinId="37" hidden="1"/>
    <cellStyle name="Accent3" xfId="2940" builtinId="37" hidden="1"/>
    <cellStyle name="Accent3" xfId="2986" builtinId="37" hidden="1"/>
    <cellStyle name="Accent3" xfId="3029" builtinId="37" hidden="1"/>
    <cellStyle name="Accent3" xfId="3073" builtinId="37" hidden="1"/>
    <cellStyle name="Accent4" xfId="31" builtinId="41" hidden="1"/>
    <cellStyle name="Accent4" xfId="85" builtinId="41" hidden="1"/>
    <cellStyle name="Accent4" xfId="140" builtinId="41" hidden="1"/>
    <cellStyle name="Accent4" xfId="184" builtinId="41" hidden="1"/>
    <cellStyle name="Accent4" xfId="229" builtinId="41" hidden="1"/>
    <cellStyle name="Accent4" xfId="274" builtinId="41" hidden="1"/>
    <cellStyle name="Accent4" xfId="324" builtinId="41" hidden="1"/>
    <cellStyle name="Accent4" xfId="378" builtinId="41" hidden="1"/>
    <cellStyle name="Accent4" xfId="426" builtinId="41" hidden="1"/>
    <cellStyle name="Accent4" xfId="469" builtinId="41" hidden="1"/>
    <cellStyle name="Accent4" xfId="513" builtinId="41" hidden="1"/>
    <cellStyle name="Accent4" xfId="549" builtinId="41" hidden="1"/>
    <cellStyle name="Accent4" xfId="593" builtinId="41" hidden="1"/>
    <cellStyle name="Accent4" xfId="640" builtinId="41" hidden="1"/>
    <cellStyle name="Accent4" xfId="686" builtinId="41" hidden="1"/>
    <cellStyle name="Accent4" xfId="729" builtinId="41" hidden="1"/>
    <cellStyle name="Accent4" xfId="773" builtinId="41" hidden="1"/>
    <cellStyle name="Accent4" xfId="816" builtinId="41" hidden="1"/>
    <cellStyle name="Accent4" xfId="858" builtinId="41" hidden="1"/>
    <cellStyle name="Accent4" xfId="910" builtinId="41" hidden="1"/>
    <cellStyle name="Accent4" xfId="956" builtinId="41" hidden="1"/>
    <cellStyle name="Accent4" xfId="1000" builtinId="41" hidden="1"/>
    <cellStyle name="Accent4" xfId="1045" builtinId="41" hidden="1"/>
    <cellStyle name="Accent4" xfId="1090" builtinId="41" hidden="1"/>
    <cellStyle name="Accent4" xfId="1140" builtinId="41" hidden="1"/>
    <cellStyle name="Accent4" xfId="1188" builtinId="41" hidden="1"/>
    <cellStyle name="Accent4" xfId="1235" builtinId="41" hidden="1"/>
    <cellStyle name="Accent4" xfId="1278" builtinId="41" hidden="1"/>
    <cellStyle name="Accent4" xfId="1322" builtinId="41" hidden="1"/>
    <cellStyle name="Accent4" xfId="1358" builtinId="41" hidden="1"/>
    <cellStyle name="Accent4" xfId="1402" builtinId="41" hidden="1"/>
    <cellStyle name="Accent4" xfId="1449" builtinId="41" hidden="1"/>
    <cellStyle name="Accent4" xfId="1495" builtinId="41" hidden="1"/>
    <cellStyle name="Accent4" xfId="1538" builtinId="41" hidden="1"/>
    <cellStyle name="Accent4" xfId="1582" builtinId="41" hidden="1"/>
    <cellStyle name="Accent4" xfId="1620" builtinId="41" hidden="1"/>
    <cellStyle name="Accent4" xfId="1674" builtinId="41" hidden="1"/>
    <cellStyle name="Accent4" xfId="1729" builtinId="41" hidden="1"/>
    <cellStyle name="Accent4" xfId="1773" builtinId="41" hidden="1"/>
    <cellStyle name="Accent4" xfId="1818" builtinId="41" hidden="1"/>
    <cellStyle name="Accent4" xfId="1863" builtinId="41" hidden="1"/>
    <cellStyle name="Accent4" xfId="1913" builtinId="41" hidden="1"/>
    <cellStyle name="Accent4" xfId="1967" builtinId="41" hidden="1"/>
    <cellStyle name="Accent4" xfId="2014" builtinId="41" hidden="1"/>
    <cellStyle name="Accent4" xfId="2057" builtinId="41" hidden="1"/>
    <cellStyle name="Accent4" xfId="2101" builtinId="41" hidden="1"/>
    <cellStyle name="Accent4" xfId="2137" builtinId="41" hidden="1"/>
    <cellStyle name="Accent4" xfId="2181" builtinId="41" hidden="1"/>
    <cellStyle name="Accent4" xfId="2228" builtinId="41" hidden="1"/>
    <cellStyle name="Accent4" xfId="2274" builtinId="41" hidden="1"/>
    <cellStyle name="Accent4" xfId="2317" builtinId="41" hidden="1"/>
    <cellStyle name="Accent4" xfId="2361" builtinId="41" hidden="1"/>
    <cellStyle name="Accent4" xfId="2216" builtinId="41" hidden="1"/>
    <cellStyle name="Accent4" xfId="2409" builtinId="41" hidden="1"/>
    <cellStyle name="Accent4" xfId="2454" builtinId="41" hidden="1"/>
    <cellStyle name="Accent4" xfId="2498" builtinId="41" hidden="1"/>
    <cellStyle name="Accent4" xfId="2543" builtinId="41" hidden="1"/>
    <cellStyle name="Accent4" xfId="2588" builtinId="41" hidden="1"/>
    <cellStyle name="Accent4" xfId="2637" builtinId="41" hidden="1"/>
    <cellStyle name="Accent4" xfId="2684" builtinId="41" hidden="1"/>
    <cellStyle name="Accent4" xfId="2730" builtinId="41" hidden="1"/>
    <cellStyle name="Accent4" xfId="2773" builtinId="41" hidden="1"/>
    <cellStyle name="Accent4" xfId="2817" builtinId="41" hidden="1"/>
    <cellStyle name="Accent4" xfId="2853" builtinId="41" hidden="1"/>
    <cellStyle name="Accent4" xfId="2897" builtinId="41" hidden="1"/>
    <cellStyle name="Accent4" xfId="2944" builtinId="41" hidden="1"/>
    <cellStyle name="Accent4" xfId="2990" builtinId="41" hidden="1"/>
    <cellStyle name="Accent4" xfId="3033" builtinId="41" hidden="1"/>
    <cellStyle name="Accent4" xfId="3077" builtinId="41" hidden="1"/>
    <cellStyle name="Accent5" xfId="35" builtinId="45" hidden="1"/>
    <cellStyle name="Accent5" xfId="89" builtinId="45" hidden="1"/>
    <cellStyle name="Accent5" xfId="144" builtinId="45" hidden="1"/>
    <cellStyle name="Accent5" xfId="188" builtinId="45" hidden="1"/>
    <cellStyle name="Accent5" xfId="233" builtinId="45" hidden="1"/>
    <cellStyle name="Accent5" xfId="278" builtinId="45" hidden="1"/>
    <cellStyle name="Accent5" xfId="328" builtinId="45" hidden="1"/>
    <cellStyle name="Accent5" xfId="382" builtinId="45" hidden="1"/>
    <cellStyle name="Accent5" xfId="430" builtinId="45" hidden="1"/>
    <cellStyle name="Accent5" xfId="473" builtinId="45" hidden="1"/>
    <cellStyle name="Accent5" xfId="517" builtinId="45" hidden="1"/>
    <cellStyle name="Accent5" xfId="553" builtinId="45" hidden="1"/>
    <cellStyle name="Accent5" xfId="597" builtinId="45" hidden="1"/>
    <cellStyle name="Accent5" xfId="644" builtinId="45" hidden="1"/>
    <cellStyle name="Accent5" xfId="690" builtinId="45" hidden="1"/>
    <cellStyle name="Accent5" xfId="733" builtinId="45" hidden="1"/>
    <cellStyle name="Accent5" xfId="777" builtinId="45" hidden="1"/>
    <cellStyle name="Accent5" xfId="820" builtinId="45" hidden="1"/>
    <cellStyle name="Accent5" xfId="862" builtinId="45" hidden="1"/>
    <cellStyle name="Accent5" xfId="914" builtinId="45" hidden="1"/>
    <cellStyle name="Accent5" xfId="960" builtinId="45" hidden="1"/>
    <cellStyle name="Accent5" xfId="1004" builtinId="45" hidden="1"/>
    <cellStyle name="Accent5" xfId="1049" builtinId="45" hidden="1"/>
    <cellStyle name="Accent5" xfId="1094" builtinId="45" hidden="1"/>
    <cellStyle name="Accent5" xfId="1144" builtinId="45" hidden="1"/>
    <cellStyle name="Accent5" xfId="1192" builtinId="45" hidden="1"/>
    <cellStyle name="Accent5" xfId="1239" builtinId="45" hidden="1"/>
    <cellStyle name="Accent5" xfId="1282" builtinId="45" hidden="1"/>
    <cellStyle name="Accent5" xfId="1326" builtinId="45" hidden="1"/>
    <cellStyle name="Accent5" xfId="1362" builtinId="45" hidden="1"/>
    <cellStyle name="Accent5" xfId="1406" builtinId="45" hidden="1"/>
    <cellStyle name="Accent5" xfId="1453" builtinId="45" hidden="1"/>
    <cellStyle name="Accent5" xfId="1499" builtinId="45" hidden="1"/>
    <cellStyle name="Accent5" xfId="1542" builtinId="45" hidden="1"/>
    <cellStyle name="Accent5" xfId="1586" builtinId="45" hidden="1"/>
    <cellStyle name="Accent5" xfId="1624" builtinId="45" hidden="1"/>
    <cellStyle name="Accent5" xfId="1678" builtinId="45" hidden="1"/>
    <cellStyle name="Accent5" xfId="1733" builtinId="45" hidden="1"/>
    <cellStyle name="Accent5" xfId="1777" builtinId="45" hidden="1"/>
    <cellStyle name="Accent5" xfId="1822" builtinId="45" hidden="1"/>
    <cellStyle name="Accent5" xfId="1867" builtinId="45" hidden="1"/>
    <cellStyle name="Accent5" xfId="1917" builtinId="45" hidden="1"/>
    <cellStyle name="Accent5" xfId="1971" builtinId="45" hidden="1"/>
    <cellStyle name="Accent5" xfId="2018" builtinId="45" hidden="1"/>
    <cellStyle name="Accent5" xfId="2061" builtinId="45" hidden="1"/>
    <cellStyle name="Accent5" xfId="2105" builtinId="45" hidden="1"/>
    <cellStyle name="Accent5" xfId="2141" builtinId="45" hidden="1"/>
    <cellStyle name="Accent5" xfId="2185" builtinId="45" hidden="1"/>
    <cellStyle name="Accent5" xfId="2232" builtinId="45" hidden="1"/>
    <cellStyle name="Accent5" xfId="2278" builtinId="45" hidden="1"/>
    <cellStyle name="Accent5" xfId="2321" builtinId="45" hidden="1"/>
    <cellStyle name="Accent5" xfId="2365" builtinId="45" hidden="1"/>
    <cellStyle name="Accent5" xfId="2045" builtinId="45" hidden="1"/>
    <cellStyle name="Accent5" xfId="2413" builtinId="45" hidden="1"/>
    <cellStyle name="Accent5" xfId="2458" builtinId="45" hidden="1"/>
    <cellStyle name="Accent5" xfId="2502" builtinId="45" hidden="1"/>
    <cellStyle name="Accent5" xfId="2547" builtinId="45" hidden="1"/>
    <cellStyle name="Accent5" xfId="2592" builtinId="45" hidden="1"/>
    <cellStyle name="Accent5" xfId="2641" builtinId="45" hidden="1"/>
    <cellStyle name="Accent5" xfId="2688" builtinId="45" hidden="1"/>
    <cellStyle name="Accent5" xfId="2734" builtinId="45" hidden="1"/>
    <cellStyle name="Accent5" xfId="2777" builtinId="45" hidden="1"/>
    <cellStyle name="Accent5" xfId="2821" builtinId="45" hidden="1"/>
    <cellStyle name="Accent5" xfId="2857" builtinId="45" hidden="1"/>
    <cellStyle name="Accent5" xfId="2901" builtinId="45" hidden="1"/>
    <cellStyle name="Accent5" xfId="2948" builtinId="45" hidden="1"/>
    <cellStyle name="Accent5" xfId="2994" builtinId="45" hidden="1"/>
    <cellStyle name="Accent5" xfId="3037" builtinId="45" hidden="1"/>
    <cellStyle name="Accent5" xfId="3081" builtinId="45" hidden="1"/>
    <cellStyle name="Accent6" xfId="39" builtinId="49" hidden="1"/>
    <cellStyle name="Accent6" xfId="93" builtinId="49" hidden="1"/>
    <cellStyle name="Accent6" xfId="148" builtinId="49" hidden="1"/>
    <cellStyle name="Accent6" xfId="192" builtinId="49" hidden="1"/>
    <cellStyle name="Accent6" xfId="237" builtinId="49" hidden="1"/>
    <cellStyle name="Accent6" xfId="282" builtinId="49" hidden="1"/>
    <cellStyle name="Accent6" xfId="332" builtinId="49" hidden="1"/>
    <cellStyle name="Accent6" xfId="386" builtinId="49" hidden="1"/>
    <cellStyle name="Accent6" xfId="434" builtinId="49" hidden="1"/>
    <cellStyle name="Accent6" xfId="477" builtinId="49" hidden="1"/>
    <cellStyle name="Accent6" xfId="521" builtinId="49" hidden="1"/>
    <cellStyle name="Accent6" xfId="557" builtinId="49" hidden="1"/>
    <cellStyle name="Accent6" xfId="601" builtinId="49" hidden="1"/>
    <cellStyle name="Accent6" xfId="648" builtinId="49" hidden="1"/>
    <cellStyle name="Accent6" xfId="694" builtinId="49" hidden="1"/>
    <cellStyle name="Accent6" xfId="737" builtinId="49" hidden="1"/>
    <cellStyle name="Accent6" xfId="781" builtinId="49" hidden="1"/>
    <cellStyle name="Accent6" xfId="824" builtinId="49" hidden="1"/>
    <cellStyle name="Accent6" xfId="866" builtinId="49" hidden="1"/>
    <cellStyle name="Accent6" xfId="918" builtinId="49" hidden="1"/>
    <cellStyle name="Accent6" xfId="964" builtinId="49" hidden="1"/>
    <cellStyle name="Accent6" xfId="1008" builtinId="49" hidden="1"/>
    <cellStyle name="Accent6" xfId="1053" builtinId="49" hidden="1"/>
    <cellStyle name="Accent6" xfId="1098" builtinId="49" hidden="1"/>
    <cellStyle name="Accent6" xfId="1148" builtinId="49" hidden="1"/>
    <cellStyle name="Accent6" xfId="1196" builtinId="49" hidden="1"/>
    <cellStyle name="Accent6" xfId="1243" builtinId="49" hidden="1"/>
    <cellStyle name="Accent6" xfId="1286" builtinId="49" hidden="1"/>
    <cellStyle name="Accent6" xfId="1330" builtinId="49" hidden="1"/>
    <cellStyle name="Accent6" xfId="1366" builtinId="49" hidden="1"/>
    <cellStyle name="Accent6" xfId="1410" builtinId="49" hidden="1"/>
    <cellStyle name="Accent6" xfId="1457" builtinId="49" hidden="1"/>
    <cellStyle name="Accent6" xfId="1503" builtinId="49" hidden="1"/>
    <cellStyle name="Accent6" xfId="1546" builtinId="49" hidden="1"/>
    <cellStyle name="Accent6" xfId="1590" builtinId="49" hidden="1"/>
    <cellStyle name="Accent6" xfId="1628" builtinId="49" hidden="1"/>
    <cellStyle name="Accent6" xfId="1682" builtinId="49" hidden="1"/>
    <cellStyle name="Accent6" xfId="1737" builtinId="49" hidden="1"/>
    <cellStyle name="Accent6" xfId="1781" builtinId="49" hidden="1"/>
    <cellStyle name="Accent6" xfId="1826" builtinId="49" hidden="1"/>
    <cellStyle name="Accent6" xfId="1871" builtinId="49" hidden="1"/>
    <cellStyle name="Accent6" xfId="1921" builtinId="49" hidden="1"/>
    <cellStyle name="Accent6" xfId="1975" builtinId="49" hidden="1"/>
    <cellStyle name="Accent6" xfId="2022" builtinId="49" hidden="1"/>
    <cellStyle name="Accent6" xfId="2065" builtinId="49" hidden="1"/>
    <cellStyle name="Accent6" xfId="2109" builtinId="49" hidden="1"/>
    <cellStyle name="Accent6" xfId="2145" builtinId="49" hidden="1"/>
    <cellStyle name="Accent6" xfId="2189" builtinId="49" hidden="1"/>
    <cellStyle name="Accent6" xfId="2236" builtinId="49" hidden="1"/>
    <cellStyle name="Accent6" xfId="2282" builtinId="49" hidden="1"/>
    <cellStyle name="Accent6" xfId="2325" builtinId="49" hidden="1"/>
    <cellStyle name="Accent6" xfId="2369" builtinId="49" hidden="1"/>
    <cellStyle name="Accent6" xfId="1851" builtinId="49" hidden="1"/>
    <cellStyle name="Accent6" xfId="2417" builtinId="49" hidden="1"/>
    <cellStyle name="Accent6" xfId="2462" builtinId="49" hidden="1"/>
    <cellStyle name="Accent6" xfId="2506" builtinId="49" hidden="1"/>
    <cellStyle name="Accent6" xfId="2551" builtinId="49" hidden="1"/>
    <cellStyle name="Accent6" xfId="2596" builtinId="49" hidden="1"/>
    <cellStyle name="Accent6" xfId="2645" builtinId="49" hidden="1"/>
    <cellStyle name="Accent6" xfId="2692" builtinId="49" hidden="1"/>
    <cellStyle name="Accent6" xfId="2738" builtinId="49" hidden="1"/>
    <cellStyle name="Accent6" xfId="2781" builtinId="49" hidden="1"/>
    <cellStyle name="Accent6" xfId="2825" builtinId="49" hidden="1"/>
    <cellStyle name="Accent6" xfId="2861" builtinId="49" hidden="1"/>
    <cellStyle name="Accent6" xfId="2905" builtinId="49" hidden="1"/>
    <cellStyle name="Accent6" xfId="2952" builtinId="49" hidden="1"/>
    <cellStyle name="Accent6" xfId="2998" builtinId="49" hidden="1"/>
    <cellStyle name="Accent6" xfId="3041" builtinId="49" hidden="1"/>
    <cellStyle name="Accent6" xfId="3085" builtinId="49" hidden="1"/>
    <cellStyle name="Calculation" xfId="12" builtinId="22" hidden="1"/>
    <cellStyle name="Calculation" xfId="66" builtinId="22" hidden="1"/>
    <cellStyle name="Calculation" xfId="121" builtinId="22" hidden="1"/>
    <cellStyle name="Calculation" xfId="165" builtinId="22" hidden="1"/>
    <cellStyle name="Calculation" xfId="210" builtinId="22" hidden="1"/>
    <cellStyle name="Calculation" xfId="255" builtinId="22" hidden="1"/>
    <cellStyle name="Calculation" xfId="305" builtinId="22" hidden="1"/>
    <cellStyle name="Calculation" xfId="359" builtinId="22" hidden="1"/>
    <cellStyle name="Calculation" xfId="407" builtinId="22" hidden="1"/>
    <cellStyle name="Calculation" xfId="450" builtinId="22" hidden="1"/>
    <cellStyle name="Calculation" xfId="494" builtinId="22" hidden="1"/>
    <cellStyle name="Calculation" xfId="530" builtinId="22" hidden="1"/>
    <cellStyle name="Calculation" xfId="574" builtinId="22" hidden="1"/>
    <cellStyle name="Calculation" xfId="621" builtinId="22" hidden="1"/>
    <cellStyle name="Calculation" xfId="667" builtinId="22" hidden="1"/>
    <cellStyle name="Calculation" xfId="710" builtinId="22" hidden="1"/>
    <cellStyle name="Calculation" xfId="754" builtinId="22" hidden="1"/>
    <cellStyle name="Calculation" xfId="797" builtinId="22" hidden="1"/>
    <cellStyle name="Calculation" xfId="839" builtinId="22" hidden="1"/>
    <cellStyle name="Calculation" xfId="891" builtinId="22" hidden="1"/>
    <cellStyle name="Calculation" xfId="937" builtinId="22" hidden="1"/>
    <cellStyle name="Calculation" xfId="981" builtinId="22" hidden="1"/>
    <cellStyle name="Calculation" xfId="1026" builtinId="22" hidden="1"/>
    <cellStyle name="Calculation" xfId="1071" builtinId="22" hidden="1"/>
    <cellStyle name="Calculation" xfId="1121" builtinId="22" hidden="1"/>
    <cellStyle name="Calculation" xfId="1169" builtinId="22" hidden="1"/>
    <cellStyle name="Calculation" xfId="1216" builtinId="22" hidden="1"/>
    <cellStyle name="Calculation" xfId="1259" builtinId="22" hidden="1"/>
    <cellStyle name="Calculation" xfId="1303" builtinId="22" hidden="1"/>
    <cellStyle name="Calculation" xfId="1339" builtinId="22" hidden="1"/>
    <cellStyle name="Calculation" xfId="1383" builtinId="22" hidden="1"/>
    <cellStyle name="Calculation" xfId="1430" builtinId="22" hidden="1"/>
    <cellStyle name="Calculation" xfId="1476" builtinId="22" hidden="1"/>
    <cellStyle name="Calculation" xfId="1519" builtinId="22" hidden="1"/>
    <cellStyle name="Calculation" xfId="1563" builtinId="22" hidden="1"/>
    <cellStyle name="Calculation" xfId="1601" builtinId="22" hidden="1"/>
    <cellStyle name="Calculation" xfId="1655" builtinId="22" hidden="1"/>
    <cellStyle name="Calculation" xfId="1710" builtinId="22" hidden="1"/>
    <cellStyle name="Calculation" xfId="1754" builtinId="22" hidden="1"/>
    <cellStyle name="Calculation" xfId="1799" builtinId="22" hidden="1"/>
    <cellStyle name="Calculation" xfId="1844" builtinId="22" hidden="1"/>
    <cellStyle name="Calculation" xfId="1894" builtinId="22" hidden="1"/>
    <cellStyle name="Calculation" xfId="1948" builtinId="22" hidden="1"/>
    <cellStyle name="Calculation" xfId="1995" builtinId="22" hidden="1"/>
    <cellStyle name="Calculation" xfId="2038" builtinId="22" hidden="1"/>
    <cellStyle name="Calculation" xfId="2082" builtinId="22" hidden="1"/>
    <cellStyle name="Calculation" xfId="2118" builtinId="22" hidden="1"/>
    <cellStyle name="Calculation" xfId="2162" builtinId="22" hidden="1"/>
    <cellStyle name="Calculation" xfId="2209" builtinId="22" hidden="1"/>
    <cellStyle name="Calculation" xfId="2255" builtinId="22" hidden="1"/>
    <cellStyle name="Calculation" xfId="2298" builtinId="22" hidden="1"/>
    <cellStyle name="Calculation" xfId="2342" builtinId="22" hidden="1"/>
    <cellStyle name="Calculation" xfId="1929" builtinId="22" hidden="1"/>
    <cellStyle name="Calculation" xfId="2390" builtinId="22" hidden="1"/>
    <cellStyle name="Calculation" xfId="2435" builtinId="22" hidden="1"/>
    <cellStyle name="Calculation" xfId="2479" builtinId="22" hidden="1"/>
    <cellStyle name="Calculation" xfId="2524" builtinId="22" hidden="1"/>
    <cellStyle name="Calculation" xfId="2569" builtinId="22" hidden="1"/>
    <cellStyle name="Calculation" xfId="2618" builtinId="22" hidden="1"/>
    <cellStyle name="Calculation" xfId="2665" builtinId="22" hidden="1"/>
    <cellStyle name="Calculation" xfId="2711" builtinId="22" hidden="1"/>
    <cellStyle name="Calculation" xfId="2754" builtinId="22" hidden="1"/>
    <cellStyle name="Calculation" xfId="2798" builtinId="22" hidden="1"/>
    <cellStyle name="Calculation" xfId="2834" builtinId="22" hidden="1"/>
    <cellStyle name="Calculation" xfId="2878" builtinId="22" hidden="1"/>
    <cellStyle name="Calculation" xfId="2925" builtinId="22" hidden="1"/>
    <cellStyle name="Calculation" xfId="2971" builtinId="22" hidden="1"/>
    <cellStyle name="Calculation" xfId="3014" builtinId="22" hidden="1"/>
    <cellStyle name="Calculation" xfId="3058" builtinId="22" hidden="1"/>
    <cellStyle name="Check Cell" xfId="14" builtinId="23" hidden="1"/>
    <cellStyle name="Check Cell" xfId="68" builtinId="23" hidden="1"/>
    <cellStyle name="Check Cell" xfId="123" builtinId="23" hidden="1"/>
    <cellStyle name="Check Cell" xfId="167" builtinId="23" hidden="1"/>
    <cellStyle name="Check Cell" xfId="212" builtinId="23" hidden="1"/>
    <cellStyle name="Check Cell" xfId="257" builtinId="23" hidden="1"/>
    <cellStyle name="Check Cell" xfId="307" builtinId="23" hidden="1"/>
    <cellStyle name="Check Cell" xfId="361" builtinId="23" hidden="1"/>
    <cellStyle name="Check Cell" xfId="409" builtinId="23" hidden="1"/>
    <cellStyle name="Check Cell" xfId="452" builtinId="23" hidden="1"/>
    <cellStyle name="Check Cell" xfId="496" builtinId="23" hidden="1"/>
    <cellStyle name="Check Cell" xfId="532" builtinId="23" hidden="1"/>
    <cellStyle name="Check Cell" xfId="576" builtinId="23" hidden="1"/>
    <cellStyle name="Check Cell" xfId="623" builtinId="23" hidden="1"/>
    <cellStyle name="Check Cell" xfId="669" builtinId="23" hidden="1"/>
    <cellStyle name="Check Cell" xfId="712" builtinId="23" hidden="1"/>
    <cellStyle name="Check Cell" xfId="756" builtinId="23" hidden="1"/>
    <cellStyle name="Check Cell" xfId="799" builtinId="23" hidden="1"/>
    <cellStyle name="Check Cell" xfId="841" builtinId="23" hidden="1"/>
    <cellStyle name="Check Cell" xfId="893" builtinId="23" hidden="1"/>
    <cellStyle name="Check Cell" xfId="939" builtinId="23" hidden="1"/>
    <cellStyle name="Check Cell" xfId="983" builtinId="23" hidden="1"/>
    <cellStyle name="Check Cell" xfId="1028" builtinId="23" hidden="1"/>
    <cellStyle name="Check Cell" xfId="1073" builtinId="23" hidden="1"/>
    <cellStyle name="Check Cell" xfId="1123" builtinId="23" hidden="1"/>
    <cellStyle name="Check Cell" xfId="1171" builtinId="23" hidden="1"/>
    <cellStyle name="Check Cell" xfId="1218" builtinId="23" hidden="1"/>
    <cellStyle name="Check Cell" xfId="1261" builtinId="23" hidden="1"/>
    <cellStyle name="Check Cell" xfId="1305" builtinId="23" hidden="1"/>
    <cellStyle name="Check Cell" xfId="1341" builtinId="23" hidden="1"/>
    <cellStyle name="Check Cell" xfId="1385" builtinId="23" hidden="1"/>
    <cellStyle name="Check Cell" xfId="1432" builtinId="23" hidden="1"/>
    <cellStyle name="Check Cell" xfId="1478" builtinId="23" hidden="1"/>
    <cellStyle name="Check Cell" xfId="1521" builtinId="23" hidden="1"/>
    <cellStyle name="Check Cell" xfId="1565" builtinId="23" hidden="1"/>
    <cellStyle name="Check Cell" xfId="1603" builtinId="23" hidden="1"/>
    <cellStyle name="Check Cell" xfId="1657" builtinId="23" hidden="1"/>
    <cellStyle name="Check Cell" xfId="1712" builtinId="23" hidden="1"/>
    <cellStyle name="Check Cell" xfId="1756" builtinId="23" hidden="1"/>
    <cellStyle name="Check Cell" xfId="1801" builtinId="23" hidden="1"/>
    <cellStyle name="Check Cell" xfId="1846" builtinId="23" hidden="1"/>
    <cellStyle name="Check Cell" xfId="1896" builtinId="23" hidden="1"/>
    <cellStyle name="Check Cell" xfId="1950" builtinId="23" hidden="1"/>
    <cellStyle name="Check Cell" xfId="1997" builtinId="23" hidden="1"/>
    <cellStyle name="Check Cell" xfId="2040" builtinId="23" hidden="1"/>
    <cellStyle name="Check Cell" xfId="2084" builtinId="23" hidden="1"/>
    <cellStyle name="Check Cell" xfId="2120" builtinId="23" hidden="1"/>
    <cellStyle name="Check Cell" xfId="2164" builtinId="23" hidden="1"/>
    <cellStyle name="Check Cell" xfId="2211" builtinId="23" hidden="1"/>
    <cellStyle name="Check Cell" xfId="2257" builtinId="23" hidden="1"/>
    <cellStyle name="Check Cell" xfId="2300" builtinId="23" hidden="1"/>
    <cellStyle name="Check Cell" xfId="2344" builtinId="23" hidden="1"/>
    <cellStyle name="Check Cell" xfId="1636" builtinId="23" hidden="1"/>
    <cellStyle name="Check Cell" xfId="2392" builtinId="23" hidden="1"/>
    <cellStyle name="Check Cell" xfId="2437" builtinId="23" hidden="1"/>
    <cellStyle name="Check Cell" xfId="2481" builtinId="23" hidden="1"/>
    <cellStyle name="Check Cell" xfId="2526" builtinId="23" hidden="1"/>
    <cellStyle name="Check Cell" xfId="2571" builtinId="23" hidden="1"/>
    <cellStyle name="Check Cell" xfId="2620" builtinId="23" hidden="1"/>
    <cellStyle name="Check Cell" xfId="2667" builtinId="23" hidden="1"/>
    <cellStyle name="Check Cell" xfId="2713" builtinId="23" hidden="1"/>
    <cellStyle name="Check Cell" xfId="2756" builtinId="23" hidden="1"/>
    <cellStyle name="Check Cell" xfId="2800" builtinId="23" hidden="1"/>
    <cellStyle name="Check Cell" xfId="2836" builtinId="23" hidden="1"/>
    <cellStyle name="Check Cell" xfId="2880" builtinId="23" hidden="1"/>
    <cellStyle name="Check Cell" xfId="2927" builtinId="23" hidden="1"/>
    <cellStyle name="Check Cell" xfId="2973" builtinId="23" hidden="1"/>
    <cellStyle name="Check Cell" xfId="3016" builtinId="23" hidden="1"/>
    <cellStyle name="Check Cell" xfId="3060" builtinId="23" hidden="1"/>
    <cellStyle name="Comma" xfId="1" builtinId="3" hidden="1"/>
    <cellStyle name="Comma" xfId="52" builtinId="3" hidden="1"/>
    <cellStyle name="Comma" xfId="108" builtinId="3" hidden="1"/>
    <cellStyle name="Comma" xfId="162" builtinId="3" hidden="1"/>
    <cellStyle name="Comma" xfId="204" builtinId="3" hidden="1"/>
    <cellStyle name="Comma" xfId="246" builtinId="3" hidden="1"/>
    <cellStyle name="Comma" xfId="294" builtinId="3" hidden="1"/>
    <cellStyle name="Comma" xfId="345" builtinId="3" hidden="1"/>
    <cellStyle name="Comma" xfId="395" builtinId="3" hidden="1"/>
    <cellStyle name="Comma" xfId="447" builtinId="3" hidden="1"/>
    <cellStyle name="Comma" xfId="488" builtinId="3" hidden="1"/>
    <cellStyle name="Comma" xfId="295" builtinId="3" hidden="1"/>
    <cellStyle name="Comma" xfId="564" builtinId="3" hidden="1"/>
    <cellStyle name="Comma" xfId="608" builtinId="3" hidden="1"/>
    <cellStyle name="Comma" xfId="656" builtinId="3" hidden="1"/>
    <cellStyle name="Comma" xfId="707" builtinId="3" hidden="1"/>
    <cellStyle name="Comma" xfId="748" builtinId="3" hidden="1"/>
    <cellStyle name="Comma" xfId="565" builtinId="3" hidden="1"/>
    <cellStyle name="Comma" xfId="878" builtinId="3" hidden="1"/>
    <cellStyle name="Comma" xfId="926" builtinId="3" hidden="1"/>
    <cellStyle name="Comma" xfId="978" builtinId="3" hidden="1"/>
    <cellStyle name="Comma" xfId="1020" builtinId="3" hidden="1"/>
    <cellStyle name="Comma" xfId="1062" builtinId="3" hidden="1"/>
    <cellStyle name="Comma" xfId="1110" builtinId="3" hidden="1"/>
    <cellStyle name="Comma" xfId="1155" builtinId="3" hidden="1"/>
    <cellStyle name="Comma" xfId="1205" builtinId="3" hidden="1"/>
    <cellStyle name="Comma" xfId="1256" builtinId="3" hidden="1"/>
    <cellStyle name="Comma" xfId="1297" builtinId="3" hidden="1"/>
    <cellStyle name="Comma" xfId="1111" builtinId="3" hidden="1"/>
    <cellStyle name="Comma" xfId="1373" builtinId="3" hidden="1"/>
    <cellStyle name="Comma" xfId="1417" builtinId="3" hidden="1"/>
    <cellStyle name="Comma" xfId="1465" builtinId="3" hidden="1"/>
    <cellStyle name="Comma" xfId="1516" builtinId="3" hidden="1"/>
    <cellStyle name="Comma" xfId="1557" builtinId="3" hidden="1"/>
    <cellStyle name="Comma" xfId="1374" builtinId="3" hidden="1"/>
    <cellStyle name="Comma" xfId="1641" builtinId="3" hidden="1"/>
    <cellStyle name="Comma" xfId="1697" builtinId="3" hidden="1"/>
    <cellStyle name="Comma" xfId="1751" builtinId="3" hidden="1"/>
    <cellStyle name="Comma" xfId="1793" builtinId="3" hidden="1"/>
    <cellStyle name="Comma" xfId="1835" builtinId="3" hidden="1"/>
    <cellStyle name="Comma" xfId="1883" builtinId="3" hidden="1"/>
    <cellStyle name="Comma" xfId="1934" builtinId="3" hidden="1"/>
    <cellStyle name="Comma" xfId="1984" builtinId="3" hidden="1"/>
    <cellStyle name="Comma" xfId="2035" builtinId="3" hidden="1"/>
    <cellStyle name="Comma" xfId="2076" builtinId="3" hidden="1"/>
    <cellStyle name="Comma" xfId="1884" builtinId="3" hidden="1"/>
    <cellStyle name="Comma" xfId="2152" builtinId="3" hidden="1"/>
    <cellStyle name="Comma" xfId="2196" builtinId="3" hidden="1"/>
    <cellStyle name="Comma" xfId="2244" builtinId="3" hidden="1"/>
    <cellStyle name="Comma" xfId="2295" builtinId="3" hidden="1"/>
    <cellStyle name="Comma" xfId="2336" builtinId="3" hidden="1"/>
    <cellStyle name="Comma" xfId="2153" builtinId="3" hidden="1"/>
    <cellStyle name="Comma" xfId="2376" builtinId="3" hidden="1"/>
    <cellStyle name="Comma" xfId="2425" builtinId="3" hidden="1"/>
    <cellStyle name="Comma" xfId="2476" builtinId="3" hidden="1"/>
    <cellStyle name="Comma" xfId="2518" builtinId="3" hidden="1"/>
    <cellStyle name="Comma" xfId="2560" builtinId="3" hidden="1"/>
    <cellStyle name="Comma" xfId="2608" builtinId="3" hidden="1"/>
    <cellStyle name="Comma" xfId="2652" builtinId="3" hidden="1"/>
    <cellStyle name="Comma" xfId="2700" builtinId="3" hidden="1"/>
    <cellStyle name="Comma" xfId="2751" builtinId="3" hidden="1"/>
    <cellStyle name="Comma" xfId="2792" builtinId="3" hidden="1"/>
    <cellStyle name="Comma" xfId="2609" builtinId="3" hidden="1"/>
    <cellStyle name="Comma" xfId="2868" builtinId="3" hidden="1"/>
    <cellStyle name="Comma" xfId="2912" builtinId="3" hidden="1"/>
    <cellStyle name="Comma" xfId="2960" builtinId="3" hidden="1"/>
    <cellStyle name="Comma" xfId="3011" builtinId="3" hidden="1"/>
    <cellStyle name="Comma" xfId="3052" builtinId="3" hidden="1"/>
    <cellStyle name="Comma" xfId="2869" builtinId="3"/>
    <cellStyle name="Comma [0]" xfId="2" builtinId="6" hidden="1"/>
    <cellStyle name="Comma [0]" xfId="55" builtinId="6" hidden="1"/>
    <cellStyle name="Comma [0]" xfId="111" builtinId="6" hidden="1"/>
    <cellStyle name="Comma [0]" xfId="160" builtinId="6" hidden="1"/>
    <cellStyle name="Comma [0]" xfId="201" builtinId="6" hidden="1"/>
    <cellStyle name="Comma [0]" xfId="155" builtinId="6" hidden="1"/>
    <cellStyle name="Comma [0]" xfId="296" builtinId="6" hidden="1"/>
    <cellStyle name="Comma [0]" xfId="348" builtinId="6" hidden="1"/>
    <cellStyle name="Comma [0]" xfId="397" builtinId="6" hidden="1"/>
    <cellStyle name="Comma [0]" xfId="445" builtinId="6" hidden="1"/>
    <cellStyle name="Comma [0]" xfId="485" builtinId="6" hidden="1"/>
    <cellStyle name="Comma [0]" xfId="290" builtinId="6" hidden="1"/>
    <cellStyle name="Comma [0]" xfId="566" builtinId="6" hidden="1"/>
    <cellStyle name="Comma [0]" xfId="611" builtinId="6" hidden="1"/>
    <cellStyle name="Comma [0]" xfId="657" builtinId="6" hidden="1"/>
    <cellStyle name="Comma [0]" xfId="705" builtinId="6" hidden="1"/>
    <cellStyle name="Comma [0]" xfId="745" builtinId="6" hidden="1"/>
    <cellStyle name="Comma [0]" xfId="788" builtinId="6" hidden="1"/>
    <cellStyle name="Comma [0]" xfId="830" builtinId="6" hidden="1"/>
    <cellStyle name="Comma [0]" xfId="881" builtinId="6" hidden="1"/>
    <cellStyle name="Comma [0]" xfId="927" builtinId="6" hidden="1"/>
    <cellStyle name="Comma [0]" xfId="976" builtinId="6" hidden="1"/>
    <cellStyle name="Comma [0]" xfId="1017" builtinId="6" hidden="1"/>
    <cellStyle name="Comma [0]" xfId="971" builtinId="6" hidden="1"/>
    <cellStyle name="Comma [0]" xfId="1112" builtinId="6" hidden="1"/>
    <cellStyle name="Comma [0]" xfId="1158" builtinId="6" hidden="1"/>
    <cellStyle name="Comma [0]" xfId="1206" builtinId="6" hidden="1"/>
    <cellStyle name="Comma [0]" xfId="1254" builtinId="6" hidden="1"/>
    <cellStyle name="Comma [0]" xfId="1294" builtinId="6" hidden="1"/>
    <cellStyle name="Comma [0]" xfId="1106" builtinId="6" hidden="1"/>
    <cellStyle name="Comma [0]" xfId="1375" builtinId="6" hidden="1"/>
    <cellStyle name="Comma [0]" xfId="1420" builtinId="6" hidden="1"/>
    <cellStyle name="Comma [0]" xfId="1466" builtinId="6" hidden="1"/>
    <cellStyle name="Comma [0]" xfId="1514" builtinId="6" hidden="1"/>
    <cellStyle name="Comma [0]" xfId="1554" builtinId="6" hidden="1"/>
    <cellStyle name="Comma [0]" xfId="872" builtinId="6" hidden="1"/>
    <cellStyle name="Comma [0]" xfId="1644" builtinId="6" hidden="1"/>
    <cellStyle name="Comma [0]" xfId="1700" builtinId="6" hidden="1"/>
    <cellStyle name="Comma [0]" xfId="1749" builtinId="6" hidden="1"/>
    <cellStyle name="Comma [0]" xfId="1790" builtinId="6" hidden="1"/>
    <cellStyle name="Comma [0]" xfId="1744" builtinId="6" hidden="1"/>
    <cellStyle name="Comma [0]" xfId="1885" builtinId="6" hidden="1"/>
    <cellStyle name="Comma [0]" xfId="1937" builtinId="6" hidden="1"/>
    <cellStyle name="Comma [0]" xfId="1985" builtinId="6" hidden="1"/>
    <cellStyle name="Comma [0]" xfId="2033" builtinId="6" hidden="1"/>
    <cellStyle name="Comma [0]" xfId="2073" builtinId="6" hidden="1"/>
    <cellStyle name="Comma [0]" xfId="1879" builtinId="6" hidden="1"/>
    <cellStyle name="Comma [0]" xfId="2154" builtinId="6" hidden="1"/>
    <cellStyle name="Comma [0]" xfId="2199" builtinId="6" hidden="1"/>
    <cellStyle name="Comma [0]" xfId="2245" builtinId="6" hidden="1"/>
    <cellStyle name="Comma [0]" xfId="2293" builtinId="6" hidden="1"/>
    <cellStyle name="Comma [0]" xfId="2333" builtinId="6" hidden="1"/>
    <cellStyle name="Comma [0]" xfId="1699" builtinId="6" hidden="1"/>
    <cellStyle name="Comma [0]" xfId="2379" builtinId="6" hidden="1"/>
    <cellStyle name="Comma [0]" xfId="2426" builtinId="6" hidden="1"/>
    <cellStyle name="Comma [0]" xfId="2474" builtinId="6" hidden="1"/>
    <cellStyle name="Comma [0]" xfId="2515" builtinId="6" hidden="1"/>
    <cellStyle name="Comma [0]" xfId="2469" builtinId="6" hidden="1"/>
    <cellStyle name="Comma [0]" xfId="2610" builtinId="6" hidden="1"/>
    <cellStyle name="Comma [0]" xfId="2655" builtinId="6" hidden="1"/>
    <cellStyle name="Comma [0]" xfId="2701" builtinId="6" hidden="1"/>
    <cellStyle name="Comma [0]" xfId="2749" builtinId="6" hidden="1"/>
    <cellStyle name="Comma [0]" xfId="2789" builtinId="6" hidden="1"/>
    <cellStyle name="Comma [0]" xfId="2604" builtinId="6" hidden="1"/>
    <cellStyle name="Comma [0]" xfId="2870" builtinId="6" hidden="1"/>
    <cellStyle name="Comma [0]" xfId="2915" builtinId="6" hidden="1"/>
    <cellStyle name="Comma [0]" xfId="2961" builtinId="6" hidden="1"/>
    <cellStyle name="Comma [0]" xfId="3009" builtinId="6" hidden="1"/>
    <cellStyle name="Comma [0]" xfId="3049" builtinId="6" hidden="1"/>
    <cellStyle name="Comma 2" xfId="54" hidden="1"/>
    <cellStyle name="Comma 2" xfId="53" hidden="1"/>
    <cellStyle name="Comma 2" xfId="347" hidden="1"/>
    <cellStyle name="Comma 2" xfId="346" hidden="1"/>
    <cellStyle name="Comma 2" xfId="244" hidden="1"/>
    <cellStyle name="Comma 2" xfId="610" hidden="1"/>
    <cellStyle name="Comma 2" xfId="609" hidden="1"/>
    <cellStyle name="Comma 2" xfId="880" hidden="1"/>
    <cellStyle name="Comma 2" xfId="879" hidden="1"/>
    <cellStyle name="Comma 2" xfId="1157" hidden="1"/>
    <cellStyle name="Comma 2" xfId="1156" hidden="1"/>
    <cellStyle name="Comma 2" xfId="1060" hidden="1"/>
    <cellStyle name="Comma 2" xfId="1419" hidden="1"/>
    <cellStyle name="Comma 2" xfId="1418" hidden="1"/>
    <cellStyle name="Comma 2" xfId="1643" hidden="1"/>
    <cellStyle name="Comma 2" xfId="1642" hidden="1"/>
    <cellStyle name="Comma 2" xfId="1936" hidden="1"/>
    <cellStyle name="Comma 2" xfId="1935" hidden="1"/>
    <cellStyle name="Comma 2" xfId="1833" hidden="1"/>
    <cellStyle name="Comma 2" xfId="2198" hidden="1"/>
    <cellStyle name="Comma 2" xfId="2197" hidden="1"/>
    <cellStyle name="Comma 2" xfId="2378" hidden="1"/>
    <cellStyle name="Comma 2" xfId="2377" hidden="1"/>
    <cellStyle name="Comma 2" xfId="2654" hidden="1"/>
    <cellStyle name="Comma 2" xfId="2653" hidden="1"/>
    <cellStyle name="Comma 2" xfId="2558" hidden="1"/>
    <cellStyle name="Comma 2" xfId="2914" hidden="1"/>
    <cellStyle name="Comma 2" xfId="2913" hidden="1"/>
    <cellStyle name="Comma 2" xfId="787"/>
    <cellStyle name="Comma 3" xfId="3094"/>
    <cellStyle name="Currency" xfId="3" builtinId="4" hidden="1"/>
    <cellStyle name="Currency" xfId="56" builtinId="4" hidden="1"/>
    <cellStyle name="Currency [0]" xfId="4" builtinId="7" hidden="1"/>
    <cellStyle name="Currency [0]" xfId="57" builtinId="7" hidden="1"/>
    <cellStyle name="Currency [0]" xfId="113" builtinId="7" hidden="1"/>
    <cellStyle name="Currency [0]" xfId="157" builtinId="7" hidden="1"/>
    <cellStyle name="Currency [0]" xfId="202" builtinId="7" hidden="1"/>
    <cellStyle name="Currency [0]" xfId="241" builtinId="7" hidden="1"/>
    <cellStyle name="Currency [0]" xfId="298" builtinId="7" hidden="1"/>
    <cellStyle name="Currency [0]" xfId="350" builtinId="7" hidden="1"/>
    <cellStyle name="Currency [0]" xfId="399" builtinId="7" hidden="1"/>
    <cellStyle name="Currency [0]" xfId="442" builtinId="7" hidden="1"/>
    <cellStyle name="Currency [0]" xfId="486" builtinId="7" hidden="1"/>
    <cellStyle name="Currency [0]" xfId="292" builtinId="7" hidden="1"/>
    <cellStyle name="Currency [0]" xfId="567" builtinId="7" hidden="1"/>
    <cellStyle name="Currency [0]" xfId="612" builtinId="7" hidden="1"/>
    <cellStyle name="Currency [0]" xfId="659" builtinId="7" hidden="1"/>
    <cellStyle name="Currency [0]" xfId="702" builtinId="7" hidden="1"/>
    <cellStyle name="Currency [0]" xfId="746" builtinId="7" hidden="1"/>
    <cellStyle name="Currency [0]" xfId="789" builtinId="7" hidden="1"/>
    <cellStyle name="Currency [0]" xfId="831" builtinId="7" hidden="1"/>
    <cellStyle name="Currency [0]" xfId="882" builtinId="7" hidden="1"/>
    <cellStyle name="Currency [0]" xfId="929" builtinId="7" hidden="1"/>
    <cellStyle name="Currency [0]" xfId="973" builtinId="7" hidden="1"/>
    <cellStyle name="Currency [0]" xfId="1018" builtinId="7" hidden="1"/>
    <cellStyle name="Currency [0]" xfId="1057" builtinId="7" hidden="1"/>
    <cellStyle name="Currency [0]" xfId="1114" builtinId="7" hidden="1"/>
    <cellStyle name="Currency [0]" xfId="1160" builtinId="7" hidden="1"/>
    <cellStyle name="Currency [0]" xfId="1208" builtinId="7" hidden="1"/>
    <cellStyle name="Currency [0]" xfId="1251" builtinId="7" hidden="1"/>
    <cellStyle name="Currency [0]" xfId="1295" builtinId="7" hidden="1"/>
    <cellStyle name="Currency [0]" xfId="1108" builtinId="7" hidden="1"/>
    <cellStyle name="Currency [0]" xfId="1376" builtinId="7" hidden="1"/>
    <cellStyle name="Currency [0]" xfId="1421" builtinId="7" hidden="1"/>
    <cellStyle name="Currency [0]" xfId="1468" builtinId="7" hidden="1"/>
    <cellStyle name="Currency [0]" xfId="1511" builtinId="7" hidden="1"/>
    <cellStyle name="Currency [0]" xfId="1555" builtinId="7" hidden="1"/>
    <cellStyle name="Currency [0]" xfId="873" builtinId="7" hidden="1"/>
    <cellStyle name="Currency [0]" xfId="1646" builtinId="7" hidden="1"/>
    <cellStyle name="Currency [0]" xfId="1702" builtinId="7" hidden="1"/>
    <cellStyle name="Currency [0]" xfId="1746" builtinId="7" hidden="1"/>
    <cellStyle name="Currency [0]" xfId="1791" builtinId="7" hidden="1"/>
    <cellStyle name="Currency [0]" xfId="1830" builtinId="7" hidden="1"/>
    <cellStyle name="Currency [0]" xfId="1887" builtinId="7" hidden="1"/>
    <cellStyle name="Currency [0]" xfId="1939" builtinId="7" hidden="1"/>
    <cellStyle name="Currency [0]" xfId="1987" builtinId="7" hidden="1"/>
    <cellStyle name="Currency [0]" xfId="2030" builtinId="7" hidden="1"/>
    <cellStyle name="Currency [0]" xfId="2074" builtinId="7" hidden="1"/>
    <cellStyle name="Currency [0]" xfId="1881" builtinId="7" hidden="1"/>
    <cellStyle name="Currency [0]" xfId="2155" builtinId="7" hidden="1"/>
    <cellStyle name="Currency [0]" xfId="2200" builtinId="7" hidden="1"/>
    <cellStyle name="Currency [0]" xfId="2247" builtinId="7" hidden="1"/>
    <cellStyle name="Currency [0]" xfId="2290" builtinId="7" hidden="1"/>
    <cellStyle name="Currency [0]" xfId="2334" builtinId="7" hidden="1"/>
    <cellStyle name="Currency [0]" xfId="1695" builtinId="7" hidden="1"/>
    <cellStyle name="Currency [0]" xfId="2381" builtinId="7" hidden="1"/>
    <cellStyle name="Currency [0]" xfId="2427" builtinId="7" hidden="1"/>
    <cellStyle name="Currency [0]" xfId="2471" builtinId="7" hidden="1"/>
    <cellStyle name="Currency [0]" xfId="2516" builtinId="7" hidden="1"/>
    <cellStyle name="Currency [0]" xfId="2555" builtinId="7" hidden="1"/>
    <cellStyle name="Currency [0]" xfId="2611" builtinId="7" hidden="1"/>
    <cellStyle name="Currency [0]" xfId="2656" builtinId="7" hidden="1"/>
    <cellStyle name="Currency [0]" xfId="2703" builtinId="7" hidden="1"/>
    <cellStyle name="Currency [0]" xfId="2746" builtinId="7" hidden="1"/>
    <cellStyle name="Currency [0]" xfId="2790" builtinId="7" hidden="1"/>
    <cellStyle name="Currency [0]" xfId="2606" builtinId="7" hidden="1"/>
    <cellStyle name="Currency [0]" xfId="2871" builtinId="7" hidden="1"/>
    <cellStyle name="Currency [0]" xfId="2916" builtinId="7" hidden="1"/>
    <cellStyle name="Currency [0]" xfId="2963" builtinId="7" hidden="1"/>
    <cellStyle name="Currency [0]" xfId="3006" builtinId="7" hidden="1"/>
    <cellStyle name="Currency [0]" xfId="3050" builtinId="7" hidden="1"/>
    <cellStyle name="Currency 2" xfId="112" hidden="1"/>
    <cellStyle name="Currency 2" xfId="200" hidden="1"/>
    <cellStyle name="Currency 2" xfId="398" hidden="1"/>
    <cellStyle name="Currency 2" xfId="484" hidden="1"/>
    <cellStyle name="Currency 2" xfId="658" hidden="1"/>
    <cellStyle name="Currency 2" xfId="744" hidden="1"/>
    <cellStyle name="Currency 2" xfId="928" hidden="1"/>
    <cellStyle name="Currency 2" xfId="1016" hidden="1"/>
    <cellStyle name="Currency 2" xfId="1207" hidden="1"/>
    <cellStyle name="Currency 2" xfId="1293" hidden="1"/>
    <cellStyle name="Currency 2" xfId="1467" hidden="1"/>
    <cellStyle name="Currency 2" xfId="1553" hidden="1"/>
    <cellStyle name="Currency 2" xfId="1789" hidden="1"/>
    <cellStyle name="Currency 2" xfId="1986" hidden="1"/>
    <cellStyle name="Currency 2" xfId="2072" hidden="1"/>
    <cellStyle name="Currency 2" xfId="2246" hidden="1"/>
    <cellStyle name="Currency 2" xfId="2332" hidden="1"/>
    <cellStyle name="Currency 2" xfId="2514" hidden="1"/>
    <cellStyle name="Currency 2" xfId="2702" hidden="1"/>
    <cellStyle name="Currency 2" xfId="2788" hidden="1"/>
    <cellStyle name="Currency 2" xfId="2962" hidden="1"/>
    <cellStyle name="Currency 2" xfId="3048"/>
    <cellStyle name="Currency 3" xfId="297" hidden="1"/>
    <cellStyle name="Currency 3" xfId="1113"/>
    <cellStyle name="Currency 4" xfId="349" hidden="1"/>
    <cellStyle name="Currency 4" xfId="1159"/>
    <cellStyle name="Currency 5" xfId="874"/>
    <cellStyle name="Currency 6" xfId="1645"/>
    <cellStyle name="Currency 7" xfId="1698"/>
    <cellStyle name="Currency 8" xfId="2380"/>
    <cellStyle name="Explanatory Text" xfId="17" builtinId="53" hidden="1"/>
    <cellStyle name="Explanatory Text" xfId="71" builtinId="53" hidden="1"/>
    <cellStyle name="Explanatory Text" xfId="126" builtinId="53" hidden="1"/>
    <cellStyle name="Explanatory Text" xfId="170" builtinId="53" hidden="1"/>
    <cellStyle name="Explanatory Text" xfId="215" builtinId="53" hidden="1"/>
    <cellStyle name="Explanatory Text" xfId="260" builtinId="53" hidden="1"/>
    <cellStyle name="Explanatory Text" xfId="310" builtinId="53" hidden="1"/>
    <cellStyle name="Explanatory Text" xfId="364" builtinId="53" hidden="1"/>
    <cellStyle name="Explanatory Text" xfId="412" builtinId="53" hidden="1"/>
    <cellStyle name="Explanatory Text" xfId="455" builtinId="53" hidden="1"/>
    <cellStyle name="Explanatory Text" xfId="499" builtinId="53" hidden="1"/>
    <cellStyle name="Explanatory Text" xfId="535" builtinId="53" hidden="1"/>
    <cellStyle name="Explanatory Text" xfId="579" builtinId="53" hidden="1"/>
    <cellStyle name="Explanatory Text" xfId="626" builtinId="53" hidden="1"/>
    <cellStyle name="Explanatory Text" xfId="672" builtinId="53" hidden="1"/>
    <cellStyle name="Explanatory Text" xfId="715" builtinId="53" hidden="1"/>
    <cellStyle name="Explanatory Text" xfId="759" builtinId="53" hidden="1"/>
    <cellStyle name="Explanatory Text" xfId="802" builtinId="53" hidden="1"/>
    <cellStyle name="Explanatory Text" xfId="844" builtinId="53" hidden="1"/>
    <cellStyle name="Explanatory Text" xfId="896" builtinId="53" hidden="1"/>
    <cellStyle name="Explanatory Text" xfId="942" builtinId="53" hidden="1"/>
    <cellStyle name="Explanatory Text" xfId="986" builtinId="53" hidden="1"/>
    <cellStyle name="Explanatory Text" xfId="1031" builtinId="53" hidden="1"/>
    <cellStyle name="Explanatory Text" xfId="1076" builtinId="53" hidden="1"/>
    <cellStyle name="Explanatory Text" xfId="1126" builtinId="53" hidden="1"/>
    <cellStyle name="Explanatory Text" xfId="1174" builtinId="53" hidden="1"/>
    <cellStyle name="Explanatory Text" xfId="1221" builtinId="53" hidden="1"/>
    <cellStyle name="Explanatory Text" xfId="1264" builtinId="53" hidden="1"/>
    <cellStyle name="Explanatory Text" xfId="1308" builtinId="53" hidden="1"/>
    <cellStyle name="Explanatory Text" xfId="1344" builtinId="53" hidden="1"/>
    <cellStyle name="Explanatory Text" xfId="1388" builtinId="53" hidden="1"/>
    <cellStyle name="Explanatory Text" xfId="1435" builtinId="53" hidden="1"/>
    <cellStyle name="Explanatory Text" xfId="1481" builtinId="53" hidden="1"/>
    <cellStyle name="Explanatory Text" xfId="1524" builtinId="53" hidden="1"/>
    <cellStyle name="Explanatory Text" xfId="1568" builtinId="53" hidden="1"/>
    <cellStyle name="Explanatory Text" xfId="1606" builtinId="53" hidden="1"/>
    <cellStyle name="Explanatory Text" xfId="1660" builtinId="53" hidden="1"/>
    <cellStyle name="Explanatory Text" xfId="1715" builtinId="53" hidden="1"/>
    <cellStyle name="Explanatory Text" xfId="1759" builtinId="53" hidden="1"/>
    <cellStyle name="Explanatory Text" xfId="1804" builtinId="53" hidden="1"/>
    <cellStyle name="Explanatory Text" xfId="1849" builtinId="53" hidden="1"/>
    <cellStyle name="Explanatory Text" xfId="1899" builtinId="53" hidden="1"/>
    <cellStyle name="Explanatory Text" xfId="1953" builtinId="53" hidden="1"/>
    <cellStyle name="Explanatory Text" xfId="2000" builtinId="53" hidden="1"/>
    <cellStyle name="Explanatory Text" xfId="2043" builtinId="53" hidden="1"/>
    <cellStyle name="Explanatory Text" xfId="2087" builtinId="53" hidden="1"/>
    <cellStyle name="Explanatory Text" xfId="2123" builtinId="53" hidden="1"/>
    <cellStyle name="Explanatory Text" xfId="2167" builtinId="53" hidden="1"/>
    <cellStyle name="Explanatory Text" xfId="2214" builtinId="53" hidden="1"/>
    <cellStyle name="Explanatory Text" xfId="2260" builtinId="53" hidden="1"/>
    <cellStyle name="Explanatory Text" xfId="2303" builtinId="53" hidden="1"/>
    <cellStyle name="Explanatory Text" xfId="2347" builtinId="53" hidden="1"/>
    <cellStyle name="Explanatory Text" xfId="1635" builtinId="53" hidden="1"/>
    <cellStyle name="Explanatory Text" xfId="2395" builtinId="53" hidden="1"/>
    <cellStyle name="Explanatory Text" xfId="2440" builtinId="53" hidden="1"/>
    <cellStyle name="Explanatory Text" xfId="2484" builtinId="53" hidden="1"/>
    <cellStyle name="Explanatory Text" xfId="2529" builtinId="53" hidden="1"/>
    <cellStyle name="Explanatory Text" xfId="2574" builtinId="53" hidden="1"/>
    <cellStyle name="Explanatory Text" xfId="2623" builtinId="53" hidden="1"/>
    <cellStyle name="Explanatory Text" xfId="2670" builtinId="53" hidden="1"/>
    <cellStyle name="Explanatory Text" xfId="2716" builtinId="53" hidden="1"/>
    <cellStyle name="Explanatory Text" xfId="2759" builtinId="53" hidden="1"/>
    <cellStyle name="Explanatory Text" xfId="2803" builtinId="53" hidden="1"/>
    <cellStyle name="Explanatory Text" xfId="2839" builtinId="53" hidden="1"/>
    <cellStyle name="Explanatory Text" xfId="2883" builtinId="53" hidden="1"/>
    <cellStyle name="Explanatory Text" xfId="2930" builtinId="53" hidden="1"/>
    <cellStyle name="Explanatory Text" xfId="2976" builtinId="53" hidden="1"/>
    <cellStyle name="Explanatory Text" xfId="3019" builtinId="53" hidden="1"/>
    <cellStyle name="Explanatory Text" xfId="3063" builtinId="53" hidden="1"/>
    <cellStyle name="H2" xfId="3095"/>
    <cellStyle name="Heading 1 2" xfId="60" hidden="1"/>
    <cellStyle name="Heading 1 2" xfId="158" hidden="1"/>
    <cellStyle name="Heading 1 2" xfId="353" hidden="1"/>
    <cellStyle name="Heading 1 2" xfId="443" hidden="1"/>
    <cellStyle name="Heading 1 2" xfId="249" hidden="1"/>
    <cellStyle name="Heading 1 2" xfId="615" hidden="1"/>
    <cellStyle name="Heading 1 2" xfId="703" hidden="1"/>
    <cellStyle name="Heading 1 2" xfId="885" hidden="1"/>
    <cellStyle name="Heading 1 2" xfId="974" hidden="1"/>
    <cellStyle name="Heading 1 2" xfId="1163" hidden="1"/>
    <cellStyle name="Heading 1 2" xfId="1252" hidden="1"/>
    <cellStyle name="Heading 1 2" xfId="1065" hidden="1"/>
    <cellStyle name="Heading 1 2" xfId="1424" hidden="1"/>
    <cellStyle name="Heading 1 2" xfId="1512" hidden="1"/>
    <cellStyle name="Heading 1 2" xfId="1649" hidden="1"/>
    <cellStyle name="Heading 1 2" xfId="1747" hidden="1"/>
    <cellStyle name="Heading 1 2" xfId="1942" hidden="1"/>
    <cellStyle name="Heading 1 2" xfId="2031" hidden="1"/>
    <cellStyle name="Heading 1 2" xfId="1838" hidden="1"/>
    <cellStyle name="Heading 1 2" xfId="2203" hidden="1"/>
    <cellStyle name="Heading 1 2" xfId="2291" hidden="1"/>
    <cellStyle name="Heading 1 2" xfId="2384" hidden="1"/>
    <cellStyle name="Heading 1 2" xfId="2472" hidden="1"/>
    <cellStyle name="Heading 1 2" xfId="2659" hidden="1"/>
    <cellStyle name="Heading 1 2" xfId="2747" hidden="1"/>
    <cellStyle name="Heading 1 2" xfId="2563" hidden="1"/>
    <cellStyle name="Heading 1 2" xfId="2919" hidden="1"/>
    <cellStyle name="Heading 1 2" xfId="3007" hidden="1"/>
    <cellStyle name="Heading 1 2" xfId="791"/>
    <cellStyle name="Heading 2" xfId="7" builtinId="17" hidden="1"/>
    <cellStyle name="Heading 2" xfId="61" builtinId="17" hidden="1"/>
    <cellStyle name="Heading 2" xfId="116" builtinId="17" hidden="1"/>
    <cellStyle name="Heading 2" xfId="115" builtinId="17" hidden="1"/>
    <cellStyle name="Heading 2" xfId="196" builtinId="17" hidden="1"/>
    <cellStyle name="Heading 2" xfId="250" builtinId="17" hidden="1"/>
    <cellStyle name="Heading 2" xfId="300" builtinId="17" hidden="1"/>
    <cellStyle name="Heading 2" xfId="354" builtinId="17" hidden="1"/>
    <cellStyle name="Heading 2" xfId="402" builtinId="17" hidden="1"/>
    <cellStyle name="Heading 2" xfId="401" builtinId="17" hidden="1"/>
    <cellStyle name="Heading 2" xfId="481" builtinId="17" hidden="1"/>
    <cellStyle name="Heading 2" xfId="247" builtinId="17" hidden="1"/>
    <cellStyle name="Heading 2" xfId="569" builtinId="17" hidden="1"/>
    <cellStyle name="Heading 2" xfId="616" builtinId="17" hidden="1"/>
    <cellStyle name="Heading 2" xfId="662" builtinId="17" hidden="1"/>
    <cellStyle name="Heading 2" xfId="661" builtinId="17" hidden="1"/>
    <cellStyle name="Heading 2" xfId="741" builtinId="17" hidden="1"/>
    <cellStyle name="Heading 2" xfId="792" builtinId="17" hidden="1"/>
    <cellStyle name="Heading 2" xfId="834" builtinId="17" hidden="1"/>
    <cellStyle name="Heading 2" xfId="886" builtinId="17" hidden="1"/>
    <cellStyle name="Heading 2" xfId="932" builtinId="17" hidden="1"/>
    <cellStyle name="Heading 2" xfId="931" builtinId="17" hidden="1"/>
    <cellStyle name="Heading 2" xfId="1012" builtinId="17" hidden="1"/>
    <cellStyle name="Heading 2" xfId="1066" builtinId="17" hidden="1"/>
    <cellStyle name="Heading 2" xfId="1116" builtinId="17" hidden="1"/>
    <cellStyle name="Heading 2" xfId="1164" builtinId="17" hidden="1"/>
    <cellStyle name="Heading 2" xfId="1211" builtinId="17" hidden="1"/>
    <cellStyle name="Heading 2" xfId="1210" builtinId="17" hidden="1"/>
    <cellStyle name="Heading 2" xfId="1290" builtinId="17" hidden="1"/>
    <cellStyle name="Heading 2" xfId="1063" builtinId="17" hidden="1"/>
    <cellStyle name="Heading 2" xfId="1378" builtinId="17" hidden="1"/>
    <cellStyle name="Heading 2" xfId="1425" builtinId="17" hidden="1"/>
    <cellStyle name="Heading 2" xfId="1471" builtinId="17" hidden="1"/>
    <cellStyle name="Heading 2" xfId="1470" builtinId="17" hidden="1"/>
    <cellStyle name="Heading 2" xfId="1550" builtinId="17" hidden="1"/>
    <cellStyle name="Heading 2" xfId="1596" builtinId="17" hidden="1"/>
    <cellStyle name="Heading 2" xfId="1650" builtinId="17" hidden="1"/>
    <cellStyle name="Heading 2" xfId="1705" builtinId="17" hidden="1"/>
    <cellStyle name="Heading 2" xfId="1704" builtinId="17" hidden="1"/>
    <cellStyle name="Heading 2" xfId="1785" builtinId="17" hidden="1"/>
    <cellStyle name="Heading 2" xfId="1839" builtinId="17" hidden="1"/>
    <cellStyle name="Heading 2" xfId="1889" builtinId="17" hidden="1"/>
    <cellStyle name="Heading 2" xfId="1943" builtinId="17" hidden="1"/>
    <cellStyle name="Heading 2" xfId="1990" builtinId="17" hidden="1"/>
    <cellStyle name="Heading 2" xfId="1989" builtinId="17" hidden="1"/>
    <cellStyle name="Heading 2" xfId="2069" builtinId="17" hidden="1"/>
    <cellStyle name="Heading 2" xfId="1836" builtinId="17" hidden="1"/>
    <cellStyle name="Heading 2" xfId="2157" builtinId="17" hidden="1"/>
    <cellStyle name="Heading 2" xfId="2204" builtinId="17" hidden="1"/>
    <cellStyle name="Heading 2" xfId="2250" builtinId="17" hidden="1"/>
    <cellStyle name="Heading 2" xfId="2249" builtinId="17" hidden="1"/>
    <cellStyle name="Heading 2" xfId="2329" builtinId="17" hidden="1"/>
    <cellStyle name="Heading 2" xfId="1694" builtinId="17" hidden="1"/>
    <cellStyle name="Heading 2" xfId="2385" builtinId="17" hidden="1"/>
    <cellStyle name="Heading 2" xfId="2430" builtinId="17" hidden="1"/>
    <cellStyle name="Heading 2" xfId="2429" builtinId="17" hidden="1"/>
    <cellStyle name="Heading 2" xfId="2510" builtinId="17" hidden="1"/>
    <cellStyle name="Heading 2" xfId="2564" builtinId="17" hidden="1"/>
    <cellStyle name="Heading 2" xfId="2613" builtinId="17" hidden="1"/>
    <cellStyle name="Heading 2" xfId="2660" builtinId="17" hidden="1"/>
    <cellStyle name="Heading 2" xfId="2706" builtinId="17" hidden="1"/>
    <cellStyle name="Heading 2" xfId="2705" builtinId="17" hidden="1"/>
    <cellStyle name="Heading 2" xfId="2785" builtinId="17" hidden="1"/>
    <cellStyle name="Heading 2" xfId="2561" builtinId="17" hidden="1"/>
    <cellStyle name="Heading 2" xfId="2873" builtinId="17" hidden="1"/>
    <cellStyle name="Heading 2" xfId="2920" builtinId="17" hidden="1"/>
    <cellStyle name="Heading 2" xfId="2966" builtinId="17" hidden="1"/>
    <cellStyle name="Heading 2" xfId="2965" builtinId="17" hidden="1"/>
    <cellStyle name="Heading 2" xfId="3045" builtinId="17" hidden="1"/>
    <cellStyle name="Heading 3" xfId="8" builtinId="18" hidden="1"/>
    <cellStyle name="Heading 3" xfId="62" builtinId="18" hidden="1"/>
    <cellStyle name="Heading 3" xfId="117" builtinId="18" hidden="1"/>
    <cellStyle name="Heading 3" xfId="163" builtinId="18" hidden="1"/>
    <cellStyle name="Heading 3" xfId="206" builtinId="18" hidden="1"/>
    <cellStyle name="Heading 3" xfId="251" builtinId="18" hidden="1"/>
    <cellStyle name="Heading 3" xfId="301" builtinId="18" hidden="1"/>
    <cellStyle name="Heading 3" xfId="355" builtinId="18" hidden="1"/>
    <cellStyle name="Heading 3" xfId="403" builtinId="18" hidden="1"/>
    <cellStyle name="Heading 3" xfId="448" builtinId="18" hidden="1"/>
    <cellStyle name="Heading 3" xfId="490" builtinId="18" hidden="1"/>
    <cellStyle name="Heading 3" xfId="286" builtinId="18" hidden="1"/>
    <cellStyle name="Heading 3" xfId="570" builtinId="18" hidden="1"/>
    <cellStyle name="Heading 3" xfId="617" builtinId="18" hidden="1"/>
    <cellStyle name="Heading 3" xfId="663" builtinId="18" hidden="1"/>
    <cellStyle name="Heading 3" xfId="708" builtinId="18" hidden="1"/>
    <cellStyle name="Heading 3" xfId="750" builtinId="18" hidden="1"/>
    <cellStyle name="Heading 3" xfId="793" builtinId="18" hidden="1"/>
    <cellStyle name="Heading 3" xfId="835" builtinId="18" hidden="1"/>
    <cellStyle name="Heading 3" xfId="887" builtinId="18" hidden="1"/>
    <cellStyle name="Heading 3" xfId="933" builtinId="18" hidden="1"/>
    <cellStyle name="Heading 3" xfId="979" builtinId="18" hidden="1"/>
    <cellStyle name="Heading 3" xfId="1022" builtinId="18" hidden="1"/>
    <cellStyle name="Heading 3" xfId="1067" builtinId="18" hidden="1"/>
    <cellStyle name="Heading 3" xfId="1117" builtinId="18" hidden="1"/>
    <cellStyle name="Heading 3" xfId="1165" builtinId="18" hidden="1"/>
    <cellStyle name="Heading 3" xfId="1212" builtinId="18" hidden="1"/>
    <cellStyle name="Heading 3" xfId="1257" builtinId="18" hidden="1"/>
    <cellStyle name="Heading 3" xfId="1299" builtinId="18" hidden="1"/>
    <cellStyle name="Heading 3" xfId="1102" builtinId="18" hidden="1"/>
    <cellStyle name="Heading 3" xfId="1379" builtinId="18" hidden="1"/>
    <cellStyle name="Heading 3" xfId="1426" builtinId="18" hidden="1"/>
    <cellStyle name="Heading 3" xfId="1472" builtinId="18" hidden="1"/>
    <cellStyle name="Heading 3" xfId="1517" builtinId="18" hidden="1"/>
    <cellStyle name="Heading 3" xfId="1559" builtinId="18" hidden="1"/>
    <cellStyle name="Heading 3" xfId="1597" builtinId="18" hidden="1"/>
    <cellStyle name="Heading 3" xfId="1651" builtinId="18" hidden="1"/>
    <cellStyle name="Heading 3" xfId="1706" builtinId="18" hidden="1"/>
    <cellStyle name="Heading 3" xfId="1752" builtinId="18" hidden="1"/>
    <cellStyle name="Heading 3" xfId="1795" builtinId="18" hidden="1"/>
    <cellStyle name="Heading 3" xfId="1840" builtinId="18" hidden="1"/>
    <cellStyle name="Heading 3" xfId="1890" builtinId="18" hidden="1"/>
    <cellStyle name="Heading 3" xfId="1944" builtinId="18" hidden="1"/>
    <cellStyle name="Heading 3" xfId="1991" builtinId="18" hidden="1"/>
    <cellStyle name="Heading 3" xfId="2036" builtinId="18" hidden="1"/>
    <cellStyle name="Heading 3" xfId="2078" builtinId="18" hidden="1"/>
    <cellStyle name="Heading 3" xfId="1875" builtinId="18" hidden="1"/>
    <cellStyle name="Heading 3" xfId="2158" builtinId="18" hidden="1"/>
    <cellStyle name="Heading 3" xfId="2205" builtinId="18" hidden="1"/>
    <cellStyle name="Heading 3" xfId="2251" builtinId="18" hidden="1"/>
    <cellStyle name="Heading 3" xfId="2296" builtinId="18" hidden="1"/>
    <cellStyle name="Heading 3" xfId="2338" builtinId="18" hidden="1"/>
    <cellStyle name="Heading 3" xfId="1639" builtinId="18" hidden="1"/>
    <cellStyle name="Heading 3" xfId="2386" builtinId="18" hidden="1"/>
    <cellStyle name="Heading 3" xfId="2431" builtinId="18" hidden="1"/>
    <cellStyle name="Heading 3" xfId="2477" builtinId="18" hidden="1"/>
    <cellStyle name="Heading 3" xfId="2520" builtinId="18" hidden="1"/>
    <cellStyle name="Heading 3" xfId="2565" builtinId="18" hidden="1"/>
    <cellStyle name="Heading 3" xfId="2614" builtinId="18" hidden="1"/>
    <cellStyle name="Heading 3" xfId="2661" builtinId="18" hidden="1"/>
    <cellStyle name="Heading 3" xfId="2707" builtinId="18" hidden="1"/>
    <cellStyle name="Heading 3" xfId="2752" builtinId="18" hidden="1"/>
    <cellStyle name="Heading 3" xfId="2794" builtinId="18" hidden="1"/>
    <cellStyle name="Heading 3" xfId="2600" builtinId="18" hidden="1"/>
    <cellStyle name="Heading 3" xfId="2874" builtinId="18" hidden="1"/>
    <cellStyle name="Heading 3" xfId="2921" builtinId="18" hidden="1"/>
    <cellStyle name="Heading 3" xfId="2967" builtinId="18" hidden="1"/>
    <cellStyle name="Heading 3" xfId="3012" builtinId="18" hidden="1"/>
    <cellStyle name="Heading 3" xfId="3054" builtinId="18" hidden="1"/>
    <cellStyle name="Heading 4" xfId="9" builtinId="19" hidden="1"/>
    <cellStyle name="Heading 4" xfId="63" builtinId="19" hidden="1"/>
    <cellStyle name="Heading 4" xfId="118" builtinId="19" hidden="1"/>
    <cellStyle name="Heading 4" xfId="152" builtinId="19" hidden="1"/>
    <cellStyle name="Heading 4" xfId="207" builtinId="19" hidden="1"/>
    <cellStyle name="Heading 4" xfId="252" builtinId="19" hidden="1"/>
    <cellStyle name="Heading 4" xfId="302" builtinId="19" hidden="1"/>
    <cellStyle name="Heading 4" xfId="356" builtinId="19" hidden="1"/>
    <cellStyle name="Heading 4" xfId="404" builtinId="19" hidden="1"/>
    <cellStyle name="Heading 4" xfId="438" builtinId="19" hidden="1"/>
    <cellStyle name="Heading 4" xfId="491" builtinId="19" hidden="1"/>
    <cellStyle name="Heading 4" xfId="527" builtinId="19" hidden="1"/>
    <cellStyle name="Heading 4" xfId="571" builtinId="19" hidden="1"/>
    <cellStyle name="Heading 4" xfId="618" builtinId="19" hidden="1"/>
    <cellStyle name="Heading 4" xfId="664" builtinId="19" hidden="1"/>
    <cellStyle name="Heading 4" xfId="698" builtinId="19" hidden="1"/>
    <cellStyle name="Heading 4" xfId="751" builtinId="19" hidden="1"/>
    <cellStyle name="Heading 4" xfId="794" builtinId="19" hidden="1"/>
    <cellStyle name="Heading 4" xfId="836" builtinId="19" hidden="1"/>
    <cellStyle name="Heading 4" xfId="888" builtinId="19" hidden="1"/>
    <cellStyle name="Heading 4" xfId="934" builtinId="19" hidden="1"/>
    <cellStyle name="Heading 4" xfId="968" builtinId="19" hidden="1"/>
    <cellStyle name="Heading 4" xfId="1023" builtinId="19" hidden="1"/>
    <cellStyle name="Heading 4" xfId="1068" builtinId="19" hidden="1"/>
    <cellStyle name="Heading 4" xfId="1118" builtinId="19" hidden="1"/>
    <cellStyle name="Heading 4" xfId="1166" builtinId="19" hidden="1"/>
    <cellStyle name="Heading 4" xfId="1213" builtinId="19" hidden="1"/>
    <cellStyle name="Heading 4" xfId="1247" builtinId="19" hidden="1"/>
    <cellStyle name="Heading 4" xfId="1300" builtinId="19" hidden="1"/>
    <cellStyle name="Heading 4" xfId="1336" builtinId="19" hidden="1"/>
    <cellStyle name="Heading 4" xfId="1380" builtinId="19" hidden="1"/>
    <cellStyle name="Heading 4" xfId="1427" builtinId="19" hidden="1"/>
    <cellStyle name="Heading 4" xfId="1473" builtinId="19" hidden="1"/>
    <cellStyle name="Heading 4" xfId="1507" builtinId="19" hidden="1"/>
    <cellStyle name="Heading 4" xfId="1560" builtinId="19" hidden="1"/>
    <cellStyle name="Heading 4" xfId="1598" builtinId="19" hidden="1"/>
    <cellStyle name="Heading 4" xfId="1652" builtinId="19" hidden="1"/>
    <cellStyle name="Heading 4" xfId="1707" builtinId="19" hidden="1"/>
    <cellStyle name="Heading 4" xfId="1741" builtinId="19" hidden="1"/>
    <cellStyle name="Heading 4" xfId="1796" builtinId="19" hidden="1"/>
    <cellStyle name="Heading 4" xfId="1841" builtinId="19" hidden="1"/>
    <cellStyle name="Heading 4" xfId="1891" builtinId="19" hidden="1"/>
    <cellStyle name="Heading 4" xfId="1945" builtinId="19" hidden="1"/>
    <cellStyle name="Heading 4" xfId="1992" builtinId="19" hidden="1"/>
    <cellStyle name="Heading 4" xfId="2026" builtinId="19" hidden="1"/>
    <cellStyle name="Heading 4" xfId="2079" builtinId="19" hidden="1"/>
    <cellStyle name="Heading 4" xfId="2115" builtinId="19" hidden="1"/>
    <cellStyle name="Heading 4" xfId="2159" builtinId="19" hidden="1"/>
    <cellStyle name="Heading 4" xfId="2206" builtinId="19" hidden="1"/>
    <cellStyle name="Heading 4" xfId="2252" builtinId="19" hidden="1"/>
    <cellStyle name="Heading 4" xfId="2286" builtinId="19" hidden="1"/>
    <cellStyle name="Heading 4" xfId="2339" builtinId="19" hidden="1"/>
    <cellStyle name="Heading 4" xfId="1927" builtinId="19" hidden="1"/>
    <cellStyle name="Heading 4" xfId="2387" builtinId="19" hidden="1"/>
    <cellStyle name="Heading 4" xfId="2432" builtinId="19" hidden="1"/>
    <cellStyle name="Heading 4" xfId="2466" builtinId="19" hidden="1"/>
    <cellStyle name="Heading 4" xfId="2521" builtinId="19" hidden="1"/>
    <cellStyle name="Heading 4" xfId="2566" builtinId="19" hidden="1"/>
    <cellStyle name="Heading 4" xfId="2615" builtinId="19" hidden="1"/>
    <cellStyle name="Heading 4" xfId="2662" builtinId="19" hidden="1"/>
    <cellStyle name="Heading 4" xfId="2708" builtinId="19" hidden="1"/>
    <cellStyle name="Heading 4" xfId="2742" builtinId="19" hidden="1"/>
    <cellStyle name="Heading 4" xfId="2795" builtinId="19" hidden="1"/>
    <cellStyle name="Heading 4" xfId="2831" builtinId="19" hidden="1"/>
    <cellStyle name="Heading 4" xfId="2875" builtinId="19" hidden="1"/>
    <cellStyle name="Heading 4" xfId="2922" builtinId="19" hidden="1"/>
    <cellStyle name="Heading 4" xfId="2968" builtinId="19" hidden="1"/>
    <cellStyle name="Heading 4" xfId="3002" builtinId="19" hidden="1"/>
    <cellStyle name="Heading 4" xfId="3055" builtinId="19" hidden="1"/>
    <cellStyle name="Input" xfId="10" builtinId="20" hidden="1"/>
    <cellStyle name="Input" xfId="64" builtinId="20" hidden="1"/>
    <cellStyle name="Input" xfId="119" builtinId="20" hidden="1"/>
    <cellStyle name="Input" xfId="97" builtinId="20" hidden="1"/>
    <cellStyle name="Input" xfId="208" builtinId="20" hidden="1"/>
    <cellStyle name="Input" xfId="253" builtinId="20" hidden="1"/>
    <cellStyle name="Input" xfId="303" builtinId="20" hidden="1"/>
    <cellStyle name="Input" xfId="357" builtinId="20" hidden="1"/>
    <cellStyle name="Input" xfId="405" builtinId="20" hidden="1"/>
    <cellStyle name="Input" xfId="390" builtinId="20" hidden="1"/>
    <cellStyle name="Input" xfId="492" builtinId="20" hidden="1"/>
    <cellStyle name="Input" xfId="528" builtinId="20" hidden="1"/>
    <cellStyle name="Input" xfId="572" builtinId="20" hidden="1"/>
    <cellStyle name="Input" xfId="619" builtinId="20" hidden="1"/>
    <cellStyle name="Input" xfId="665" builtinId="20" hidden="1"/>
    <cellStyle name="Input" xfId="652" builtinId="20" hidden="1"/>
    <cellStyle name="Input" xfId="752" builtinId="20" hidden="1"/>
    <cellStyle name="Input" xfId="795" builtinId="20" hidden="1"/>
    <cellStyle name="Input" xfId="837" builtinId="20" hidden="1"/>
    <cellStyle name="Input" xfId="889" builtinId="20" hidden="1"/>
    <cellStyle name="Input" xfId="935" builtinId="20" hidden="1"/>
    <cellStyle name="Input" xfId="922" builtinId="20" hidden="1"/>
    <cellStyle name="Input" xfId="1024" builtinId="20" hidden="1"/>
    <cellStyle name="Input" xfId="1069" builtinId="20" hidden="1"/>
    <cellStyle name="Input" xfId="1119" builtinId="20" hidden="1"/>
    <cellStyle name="Input" xfId="1167" builtinId="20" hidden="1"/>
    <cellStyle name="Input" xfId="1214" builtinId="20" hidden="1"/>
    <cellStyle name="Input" xfId="1200" builtinId="20" hidden="1"/>
    <cellStyle name="Input" xfId="1301" builtinId="20" hidden="1"/>
    <cellStyle name="Input" xfId="1337" builtinId="20" hidden="1"/>
    <cellStyle name="Input" xfId="1381" builtinId="20" hidden="1"/>
    <cellStyle name="Input" xfId="1428" builtinId="20" hidden="1"/>
    <cellStyle name="Input" xfId="1474" builtinId="20" hidden="1"/>
    <cellStyle name="Input" xfId="1461" builtinId="20" hidden="1"/>
    <cellStyle name="Input" xfId="1561" builtinId="20" hidden="1"/>
    <cellStyle name="Input" xfId="1599" builtinId="20" hidden="1"/>
    <cellStyle name="Input" xfId="1653" builtinId="20" hidden="1"/>
    <cellStyle name="Input" xfId="1708" builtinId="20" hidden="1"/>
    <cellStyle name="Input" xfId="1686" builtinId="20" hidden="1"/>
    <cellStyle name="Input" xfId="1797" builtinId="20" hidden="1"/>
    <cellStyle name="Input" xfId="1842" builtinId="20" hidden="1"/>
    <cellStyle name="Input" xfId="1892" builtinId="20" hidden="1"/>
    <cellStyle name="Input" xfId="1946" builtinId="20" hidden="1"/>
    <cellStyle name="Input" xfId="1993" builtinId="20" hidden="1"/>
    <cellStyle name="Input" xfId="1979" builtinId="20" hidden="1"/>
    <cellStyle name="Input" xfId="2080" builtinId="20" hidden="1"/>
    <cellStyle name="Input" xfId="2116" builtinId="20" hidden="1"/>
    <cellStyle name="Input" xfId="2160" builtinId="20" hidden="1"/>
    <cellStyle name="Input" xfId="2207" builtinId="20" hidden="1"/>
    <cellStyle name="Input" xfId="2253" builtinId="20" hidden="1"/>
    <cellStyle name="Input" xfId="2240" builtinId="20" hidden="1"/>
    <cellStyle name="Input" xfId="2340" builtinId="20" hidden="1"/>
    <cellStyle name="Input" xfId="1689" builtinId="20" hidden="1"/>
    <cellStyle name="Input" xfId="2388" builtinId="20" hidden="1"/>
    <cellStyle name="Input" xfId="2433" builtinId="20" hidden="1"/>
    <cellStyle name="Input" xfId="2421" builtinId="20" hidden="1"/>
    <cellStyle name="Input" xfId="2522" builtinId="20" hidden="1"/>
    <cellStyle name="Input" xfId="2567" builtinId="20" hidden="1"/>
    <cellStyle name="Input" xfId="2616" builtinId="20" hidden="1"/>
    <cellStyle name="Input" xfId="2663" builtinId="20" hidden="1"/>
    <cellStyle name="Input" xfId="2709" builtinId="20" hidden="1"/>
    <cellStyle name="Input" xfId="2696" builtinId="20" hidden="1"/>
    <cellStyle name="Input" xfId="2796" builtinId="20" hidden="1"/>
    <cellStyle name="Input" xfId="2832" builtinId="20" hidden="1"/>
    <cellStyle name="Input" xfId="2876" builtinId="20" hidden="1"/>
    <cellStyle name="Input" xfId="2923" builtinId="20" hidden="1"/>
    <cellStyle name="Input" xfId="2969" builtinId="20" hidden="1"/>
    <cellStyle name="Input" xfId="2956" builtinId="20" hidden="1"/>
    <cellStyle name="Input" xfId="3056" builtinId="20" hidden="1"/>
    <cellStyle name="Input Data" xfId="48"/>
    <cellStyle name="Input Data 2" xfId="103"/>
    <cellStyle name="Input Data 3" xfId="341"/>
    <cellStyle name="Input Estimate" xfId="49"/>
    <cellStyle name="Input Estimate 2" xfId="104"/>
    <cellStyle name="Input Estimate 3" xfId="342"/>
    <cellStyle name="Input linked" xfId="46"/>
    <cellStyle name="Input linked 2" xfId="101"/>
    <cellStyle name="Input linked 3" xfId="339"/>
    <cellStyle name="Input Paramater" xfId="47"/>
    <cellStyle name="Input Paramater 2" xfId="102"/>
    <cellStyle name="Input Paramater 3" xfId="340"/>
    <cellStyle name="Key Output" xfId="45"/>
    <cellStyle name="Key Output 2" xfId="100"/>
    <cellStyle name="Key Output 3" xfId="338"/>
    <cellStyle name="Linked Cell" xfId="13" builtinId="24" hidden="1"/>
    <cellStyle name="Linked Cell" xfId="67" builtinId="24" hidden="1"/>
    <cellStyle name="Linked Cell" xfId="122" builtinId="24" hidden="1"/>
    <cellStyle name="Linked Cell" xfId="166" builtinId="24" hidden="1"/>
    <cellStyle name="Linked Cell" xfId="211" builtinId="24" hidden="1"/>
    <cellStyle name="Linked Cell" xfId="256" builtinId="24" hidden="1"/>
    <cellStyle name="Linked Cell" xfId="306" builtinId="24" hidden="1"/>
    <cellStyle name="Linked Cell" xfId="360" builtinId="24" hidden="1"/>
    <cellStyle name="Linked Cell" xfId="408" builtinId="24" hidden="1"/>
    <cellStyle name="Linked Cell" xfId="451" builtinId="24" hidden="1"/>
    <cellStyle name="Linked Cell" xfId="495" builtinId="24" hidden="1"/>
    <cellStyle name="Linked Cell" xfId="531" builtinId="24" hidden="1"/>
    <cellStyle name="Linked Cell" xfId="575" builtinId="24" hidden="1"/>
    <cellStyle name="Linked Cell" xfId="622" builtinId="24" hidden="1"/>
    <cellStyle name="Linked Cell" xfId="668" builtinId="24" hidden="1"/>
    <cellStyle name="Linked Cell" xfId="711" builtinId="24" hidden="1"/>
    <cellStyle name="Linked Cell" xfId="755" builtinId="24" hidden="1"/>
    <cellStyle name="Linked Cell" xfId="798" builtinId="24" hidden="1"/>
    <cellStyle name="Linked Cell" xfId="840" builtinId="24" hidden="1"/>
    <cellStyle name="Linked Cell" xfId="892" builtinId="24" hidden="1"/>
    <cellStyle name="Linked Cell" xfId="938" builtinId="24" hidden="1"/>
    <cellStyle name="Linked Cell" xfId="982" builtinId="24" hidden="1"/>
    <cellStyle name="Linked Cell" xfId="1027" builtinId="24" hidden="1"/>
    <cellStyle name="Linked Cell" xfId="1072" builtinId="24" hidden="1"/>
    <cellStyle name="Linked Cell" xfId="1122" builtinId="24" hidden="1"/>
    <cellStyle name="Linked Cell" xfId="1170" builtinId="24" hidden="1"/>
    <cellStyle name="Linked Cell" xfId="1217" builtinId="24" hidden="1"/>
    <cellStyle name="Linked Cell" xfId="1260" builtinId="24" hidden="1"/>
    <cellStyle name="Linked Cell" xfId="1304" builtinId="24" hidden="1"/>
    <cellStyle name="Linked Cell" xfId="1340" builtinId="24" hidden="1"/>
    <cellStyle name="Linked Cell" xfId="1384" builtinId="24" hidden="1"/>
    <cellStyle name="Linked Cell" xfId="1431" builtinId="24" hidden="1"/>
    <cellStyle name="Linked Cell" xfId="1477" builtinId="24" hidden="1"/>
    <cellStyle name="Linked Cell" xfId="1520" builtinId="24" hidden="1"/>
    <cellStyle name="Linked Cell" xfId="1564" builtinId="24" hidden="1"/>
    <cellStyle name="Linked Cell" xfId="1602" builtinId="24" hidden="1"/>
    <cellStyle name="Linked Cell" xfId="1656" builtinId="24" hidden="1"/>
    <cellStyle name="Linked Cell" xfId="1711" builtinId="24" hidden="1"/>
    <cellStyle name="Linked Cell" xfId="1755" builtinId="24" hidden="1"/>
    <cellStyle name="Linked Cell" xfId="1800" builtinId="24" hidden="1"/>
    <cellStyle name="Linked Cell" xfId="1845" builtinId="24" hidden="1"/>
    <cellStyle name="Linked Cell" xfId="1895" builtinId="24" hidden="1"/>
    <cellStyle name="Linked Cell" xfId="1949" builtinId="24" hidden="1"/>
    <cellStyle name="Linked Cell" xfId="1996" builtinId="24" hidden="1"/>
    <cellStyle name="Linked Cell" xfId="2039" builtinId="24" hidden="1"/>
    <cellStyle name="Linked Cell" xfId="2083" builtinId="24" hidden="1"/>
    <cellStyle name="Linked Cell" xfId="2119" builtinId="24" hidden="1"/>
    <cellStyle name="Linked Cell" xfId="2163" builtinId="24" hidden="1"/>
    <cellStyle name="Linked Cell" xfId="2210" builtinId="24" hidden="1"/>
    <cellStyle name="Linked Cell" xfId="2256" builtinId="24" hidden="1"/>
    <cellStyle name="Linked Cell" xfId="2299" builtinId="24" hidden="1"/>
    <cellStyle name="Linked Cell" xfId="2343" builtinId="24" hidden="1"/>
    <cellStyle name="Linked Cell" xfId="1691" builtinId="24" hidden="1"/>
    <cellStyle name="Linked Cell" xfId="2391" builtinId="24" hidden="1"/>
    <cellStyle name="Linked Cell" xfId="2436" builtinId="24" hidden="1"/>
    <cellStyle name="Linked Cell" xfId="2480" builtinId="24" hidden="1"/>
    <cellStyle name="Linked Cell" xfId="2525" builtinId="24" hidden="1"/>
    <cellStyle name="Linked Cell" xfId="2570" builtinId="24" hidden="1"/>
    <cellStyle name="Linked Cell" xfId="2619" builtinId="24" hidden="1"/>
    <cellStyle name="Linked Cell" xfId="2666" builtinId="24" hidden="1"/>
    <cellStyle name="Linked Cell" xfId="2712" builtinId="24" hidden="1"/>
    <cellStyle name="Linked Cell" xfId="2755" builtinId="24" hidden="1"/>
    <cellStyle name="Linked Cell" xfId="2799" builtinId="24" hidden="1"/>
    <cellStyle name="Linked Cell" xfId="2835" builtinId="24" hidden="1"/>
    <cellStyle name="Linked Cell" xfId="2879" builtinId="24" hidden="1"/>
    <cellStyle name="Linked Cell" xfId="2926" builtinId="24" hidden="1"/>
    <cellStyle name="Linked Cell" xfId="2972" builtinId="24" hidden="1"/>
    <cellStyle name="Linked Cell" xfId="3015" builtinId="24" hidden="1"/>
    <cellStyle name="Linked Cell" xfId="3059" builtinId="24" hidden="1"/>
    <cellStyle name="Macro Output" xfId="50"/>
    <cellStyle name="Macro Output 2" xfId="105"/>
    <cellStyle name="Macro Output 3" xfId="343"/>
    <cellStyle name="Normal" xfId="0" builtinId="0" customBuiltin="1"/>
    <cellStyle name="Normal 2" xfId="106"/>
    <cellStyle name="Normal 3" xfId="109"/>
    <cellStyle name="Normal 4" xfId="110"/>
    <cellStyle name="Normal 4 2" xfId="396"/>
    <cellStyle name="Normal 5" xfId="3092"/>
    <cellStyle name="Note" xfId="16" builtinId="10" hidden="1"/>
    <cellStyle name="Note" xfId="70" builtinId="10" hidden="1"/>
    <cellStyle name="Note" xfId="125" builtinId="10" hidden="1"/>
    <cellStyle name="Note" xfId="169" builtinId="10" hidden="1"/>
    <cellStyle name="Note" xfId="214" builtinId="10" hidden="1"/>
    <cellStyle name="Note" xfId="259" builtinId="10" hidden="1"/>
    <cellStyle name="Note" xfId="309" builtinId="10" hidden="1"/>
    <cellStyle name="Note" xfId="363" builtinId="10" hidden="1"/>
    <cellStyle name="Note" xfId="411" builtinId="10" hidden="1"/>
    <cellStyle name="Note" xfId="454" builtinId="10" hidden="1"/>
    <cellStyle name="Note" xfId="498" builtinId="10" hidden="1"/>
    <cellStyle name="Note" xfId="534" builtinId="10" hidden="1"/>
    <cellStyle name="Note" xfId="578" builtinId="10" hidden="1"/>
    <cellStyle name="Note" xfId="625" builtinId="10" hidden="1"/>
    <cellStyle name="Note" xfId="671" builtinId="10" hidden="1"/>
    <cellStyle name="Note" xfId="714" builtinId="10" hidden="1"/>
    <cellStyle name="Note" xfId="758" builtinId="10" hidden="1"/>
    <cellStyle name="Note" xfId="801" builtinId="10" hidden="1"/>
    <cellStyle name="Note" xfId="843" builtinId="10" hidden="1"/>
    <cellStyle name="Note" xfId="895" builtinId="10" hidden="1"/>
    <cellStyle name="Note" xfId="941" builtinId="10" hidden="1"/>
    <cellStyle name="Note" xfId="985" builtinId="10" hidden="1"/>
    <cellStyle name="Note" xfId="1030" builtinId="10" hidden="1"/>
    <cellStyle name="Note" xfId="1075" builtinId="10" hidden="1"/>
    <cellStyle name="Note" xfId="1125" builtinId="10" hidden="1"/>
    <cellStyle name="Note" xfId="1173" builtinId="10" hidden="1"/>
    <cellStyle name="Note" xfId="1220" builtinId="10" hidden="1"/>
    <cellStyle name="Note" xfId="1263" builtinId="10" hidden="1"/>
    <cellStyle name="Note" xfId="1307" builtinId="10" hidden="1"/>
    <cellStyle name="Note" xfId="1343" builtinId="10" hidden="1"/>
    <cellStyle name="Note" xfId="1387" builtinId="10" hidden="1"/>
    <cellStyle name="Note" xfId="1434" builtinId="10" hidden="1"/>
    <cellStyle name="Note" xfId="1480" builtinId="10" hidden="1"/>
    <cellStyle name="Note" xfId="1523" builtinId="10" hidden="1"/>
    <cellStyle name="Note" xfId="1567" builtinId="10" hidden="1"/>
    <cellStyle name="Note" xfId="1605" builtinId="10" hidden="1"/>
    <cellStyle name="Note" xfId="1659" builtinId="10" hidden="1"/>
    <cellStyle name="Note" xfId="1714" builtinId="10" hidden="1"/>
    <cellStyle name="Note" xfId="1758" builtinId="10" hidden="1"/>
    <cellStyle name="Note" xfId="1803" builtinId="10" hidden="1"/>
    <cellStyle name="Note" xfId="1848" builtinId="10" hidden="1"/>
    <cellStyle name="Note" xfId="1898" builtinId="10" hidden="1"/>
    <cellStyle name="Note" xfId="1952" builtinId="10" hidden="1"/>
    <cellStyle name="Note" xfId="1999" builtinId="10" hidden="1"/>
    <cellStyle name="Note" xfId="2042" builtinId="10" hidden="1"/>
    <cellStyle name="Note" xfId="2086" builtinId="10" hidden="1"/>
    <cellStyle name="Note" xfId="2122" builtinId="10" hidden="1"/>
    <cellStyle name="Note" xfId="2166" builtinId="10" hidden="1"/>
    <cellStyle name="Note" xfId="2213" builtinId="10" hidden="1"/>
    <cellStyle name="Note" xfId="2259" builtinId="10" hidden="1"/>
    <cellStyle name="Note" xfId="2302" builtinId="10" hidden="1"/>
    <cellStyle name="Note" xfId="2346" builtinId="10" hidden="1"/>
    <cellStyle name="Note" xfId="1690" builtinId="10" hidden="1"/>
    <cellStyle name="Note" xfId="2394" builtinId="10" hidden="1"/>
    <cellStyle name="Note" xfId="2439" builtinId="10" hidden="1"/>
    <cellStyle name="Note" xfId="2483" builtinId="10" hidden="1"/>
    <cellStyle name="Note" xfId="2528" builtinId="10" hidden="1"/>
    <cellStyle name="Note" xfId="2573" builtinId="10" hidden="1"/>
    <cellStyle name="Note" xfId="2622" builtinId="10" hidden="1"/>
    <cellStyle name="Note" xfId="2669" builtinId="10" hidden="1"/>
    <cellStyle name="Note" xfId="2715" builtinId="10" hidden="1"/>
    <cellStyle name="Note" xfId="2758" builtinId="10" hidden="1"/>
    <cellStyle name="Note" xfId="2802" builtinId="10" hidden="1"/>
    <cellStyle name="Note" xfId="2838" builtinId="10" hidden="1"/>
    <cellStyle name="Note" xfId="2882" builtinId="10" hidden="1"/>
    <cellStyle name="Note" xfId="2929" builtinId="10" hidden="1"/>
    <cellStyle name="Note" xfId="2975" builtinId="10" hidden="1"/>
    <cellStyle name="Note" xfId="3018" builtinId="10" hidden="1"/>
    <cellStyle name="Note" xfId="3062" builtinId="10" hidden="1"/>
    <cellStyle name="Output" xfId="11" builtinId="21" hidden="1"/>
    <cellStyle name="Output" xfId="43" builtinId="21" hidden="1"/>
    <cellStyle name="Output" xfId="44" builtinId="21" hidden="1" customBuiltin="1"/>
    <cellStyle name="Output" xfId="65" builtinId="21" hidden="1"/>
    <cellStyle name="Output" xfId="98" builtinId="21" hidden="1"/>
    <cellStyle name="Output" xfId="99" builtinId="21" hidden="1" customBuiltin="1"/>
    <cellStyle name="Output" xfId="120" builtinId="21" hidden="1"/>
    <cellStyle name="Output" xfId="153" builtinId="21" hidden="1"/>
    <cellStyle name="Output" xfId="154" builtinId="21" hidden="1" customBuiltin="1"/>
    <cellStyle name="Output" xfId="164" builtinId="21" hidden="1"/>
    <cellStyle name="Output" xfId="197" builtinId="21" hidden="1"/>
    <cellStyle name="Output" xfId="198" builtinId="21" hidden="1" customBuiltin="1"/>
    <cellStyle name="Output" xfId="209" builtinId="21" hidden="1"/>
    <cellStyle name="Output" xfId="242" builtinId="21" hidden="1"/>
    <cellStyle name="Output" xfId="243" builtinId="21" hidden="1" customBuiltin="1"/>
    <cellStyle name="Output" xfId="254" builtinId="21" hidden="1"/>
    <cellStyle name="Output" xfId="288" builtinId="21" hidden="1"/>
    <cellStyle name="Output" xfId="289" builtinId="21" hidden="1" customBuiltin="1"/>
    <cellStyle name="Output" xfId="304" builtinId="21" hidden="1"/>
    <cellStyle name="Output" xfId="336" builtinId="21" hidden="1"/>
    <cellStyle name="Output" xfId="337" builtinId="21" hidden="1" customBuiltin="1"/>
    <cellStyle name="Output" xfId="358" builtinId="21" hidden="1"/>
    <cellStyle name="Output" xfId="391" builtinId="21" hidden="1"/>
    <cellStyle name="Output" xfId="392" builtinId="21" hidden="1" customBuiltin="1"/>
    <cellStyle name="Output" xfId="406" builtinId="21" hidden="1"/>
    <cellStyle name="Output" xfId="439" builtinId="21" hidden="1"/>
    <cellStyle name="Output" xfId="440" builtinId="21" hidden="1" customBuiltin="1"/>
    <cellStyle name="Output" xfId="449" builtinId="21" hidden="1"/>
    <cellStyle name="Output" xfId="482" builtinId="21" hidden="1"/>
    <cellStyle name="Output" xfId="483" builtinId="21" hidden="1" customBuiltin="1"/>
    <cellStyle name="Output" xfId="493" builtinId="21" hidden="1"/>
    <cellStyle name="Output" xfId="525" builtinId="21" hidden="1"/>
    <cellStyle name="Output" xfId="526" builtinId="21" hidden="1" customBuiltin="1"/>
    <cellStyle name="Output" xfId="529" builtinId="21" hidden="1"/>
    <cellStyle name="Output" xfId="561" builtinId="21" hidden="1"/>
    <cellStyle name="Output" xfId="562" builtinId="21" hidden="1" customBuiltin="1"/>
    <cellStyle name="Output" xfId="573" builtinId="21" hidden="1"/>
    <cellStyle name="Output" xfId="605" builtinId="21" hidden="1"/>
    <cellStyle name="Output" xfId="606" builtinId="21" hidden="1" customBuiltin="1"/>
    <cellStyle name="Output" xfId="620" builtinId="21" hidden="1"/>
    <cellStyle name="Output" xfId="653" builtinId="21" hidden="1"/>
    <cellStyle name="Output" xfId="654" builtinId="21" hidden="1" customBuiltin="1"/>
    <cellStyle name="Output" xfId="666" builtinId="21" hidden="1"/>
    <cellStyle name="Output" xfId="699" builtinId="21" hidden="1"/>
    <cellStyle name="Output" xfId="700" builtinId="21" hidden="1" customBuiltin="1"/>
    <cellStyle name="Output" xfId="709" builtinId="21" hidden="1"/>
    <cellStyle name="Output" xfId="742" builtinId="21" hidden="1"/>
    <cellStyle name="Output" xfId="743" builtinId="21" hidden="1" customBuiltin="1"/>
    <cellStyle name="Output" xfId="753" builtinId="21" hidden="1"/>
    <cellStyle name="Output" xfId="785" builtinId="21" hidden="1"/>
    <cellStyle name="Output" xfId="786" builtinId="21" hidden="1" customBuiltin="1"/>
    <cellStyle name="Output" xfId="796" builtinId="21" hidden="1"/>
    <cellStyle name="Output" xfId="828" builtinId="21" hidden="1"/>
    <cellStyle name="Output" xfId="829" builtinId="21" hidden="1" customBuiltin="1"/>
    <cellStyle name="Output" xfId="838" builtinId="21" hidden="1"/>
    <cellStyle name="Output" xfId="870" builtinId="21" hidden="1"/>
    <cellStyle name="Output" xfId="871" builtinId="21" hidden="1" customBuiltin="1"/>
    <cellStyle name="Output" xfId="890" builtinId="21" hidden="1"/>
    <cellStyle name="Output" xfId="923" builtinId="21" hidden="1"/>
    <cellStyle name="Output" xfId="924" builtinId="21" hidden="1" customBuiltin="1"/>
    <cellStyle name="Output" xfId="936" builtinId="21" hidden="1"/>
    <cellStyle name="Output" xfId="969" builtinId="21" hidden="1"/>
    <cellStyle name="Output" xfId="970" builtinId="21" hidden="1" customBuiltin="1"/>
    <cellStyle name="Output" xfId="980" builtinId="21" hidden="1"/>
    <cellStyle name="Output" xfId="1013" builtinId="21" hidden="1"/>
    <cellStyle name="Output" xfId="1014" builtinId="21" hidden="1" customBuiltin="1"/>
    <cellStyle name="Output" xfId="1025" builtinId="21" hidden="1"/>
    <cellStyle name="Output" xfId="1058" builtinId="21" hidden="1"/>
    <cellStyle name="Output" xfId="1059" builtinId="21" hidden="1" customBuiltin="1"/>
    <cellStyle name="Output" xfId="1070" builtinId="21" hidden="1"/>
    <cellStyle name="Output" xfId="1104" builtinId="21" hidden="1"/>
    <cellStyle name="Output" xfId="1105" builtinId="21" hidden="1" customBuiltin="1"/>
    <cellStyle name="Output" xfId="1120" builtinId="21" hidden="1"/>
    <cellStyle name="Output" xfId="1152" builtinId="21" hidden="1"/>
    <cellStyle name="Output" xfId="1153" builtinId="21" hidden="1" customBuiltin="1"/>
    <cellStyle name="Output" xfId="1168" builtinId="21" hidden="1"/>
    <cellStyle name="Output" xfId="1201" builtinId="21" hidden="1"/>
    <cellStyle name="Output" xfId="1202" builtinId="21" hidden="1" customBuiltin="1"/>
    <cellStyle name="Output" xfId="1215" builtinId="21" hidden="1"/>
    <cellStyle name="Output" xfId="1248" builtinId="21" hidden="1"/>
    <cellStyle name="Output" xfId="1249" builtinId="21" hidden="1" customBuiltin="1"/>
    <cellStyle name="Output" xfId="1258" builtinId="21" hidden="1"/>
    <cellStyle name="Output" xfId="1291" builtinId="21" hidden="1"/>
    <cellStyle name="Output" xfId="1292" builtinId="21" hidden="1" customBuiltin="1"/>
    <cellStyle name="Output" xfId="1302" builtinId="21" hidden="1"/>
    <cellStyle name="Output" xfId="1334" builtinId="21" hidden="1"/>
    <cellStyle name="Output" xfId="1335" builtinId="21" hidden="1" customBuiltin="1"/>
    <cellStyle name="Output" xfId="1338" builtinId="21" hidden="1"/>
    <cellStyle name="Output" xfId="1370" builtinId="21" hidden="1"/>
    <cellStyle name="Output" xfId="1371" builtinId="21" hidden="1" customBuiltin="1"/>
    <cellStyle name="Output" xfId="1382" builtinId="21" hidden="1"/>
    <cellStyle name="Output" xfId="1414" builtinId="21" hidden="1"/>
    <cellStyle name="Output" xfId="1415" builtinId="21" hidden="1" customBuiltin="1"/>
    <cellStyle name="Output" xfId="1429" builtinId="21" hidden="1"/>
    <cellStyle name="Output" xfId="1462" builtinId="21" hidden="1"/>
    <cellStyle name="Output" xfId="1463" builtinId="21" hidden="1" customBuiltin="1"/>
    <cellStyle name="Output" xfId="1475" builtinId="21" hidden="1"/>
    <cellStyle name="Output" xfId="1508" builtinId="21" hidden="1"/>
    <cellStyle name="Output" xfId="1509" builtinId="21" hidden="1" customBuiltin="1"/>
    <cellStyle name="Output" xfId="1518" builtinId="21" hidden="1"/>
    <cellStyle name="Output" xfId="1551" builtinId="21" hidden="1"/>
    <cellStyle name="Output" xfId="1552" builtinId="21" hidden="1" customBuiltin="1"/>
    <cellStyle name="Output" xfId="1562" builtinId="21" hidden="1"/>
    <cellStyle name="Output" xfId="1594" builtinId="21" hidden="1"/>
    <cellStyle name="Output" xfId="1595" builtinId="21" hidden="1" customBuiltin="1"/>
    <cellStyle name="Output" xfId="1600" builtinId="21" hidden="1"/>
    <cellStyle name="Output" xfId="1632" builtinId="21" hidden="1"/>
    <cellStyle name="Output" xfId="1633" builtinId="21" hidden="1" customBuiltin="1"/>
    <cellStyle name="Output" xfId="1654" builtinId="21" hidden="1"/>
    <cellStyle name="Output" xfId="1687" builtinId="21" hidden="1"/>
    <cellStyle name="Output" xfId="1688" builtinId="21" hidden="1" customBuiltin="1"/>
    <cellStyle name="Output" xfId="1709" builtinId="21" hidden="1"/>
    <cellStyle name="Output" xfId="1742" builtinId="21" hidden="1"/>
    <cellStyle name="Output" xfId="1743" builtinId="21" hidden="1" customBuiltin="1"/>
    <cellStyle name="Output" xfId="1753" builtinId="21" hidden="1"/>
    <cellStyle name="Output" xfId="1786" builtinId="21" hidden="1"/>
    <cellStyle name="Output" xfId="1787" builtinId="21" hidden="1" customBuiltin="1"/>
    <cellStyle name="Output" xfId="1798" builtinId="21" hidden="1"/>
    <cellStyle name="Output" xfId="1831" builtinId="21" hidden="1"/>
    <cellStyle name="Output" xfId="1832" builtinId="21" hidden="1" customBuiltin="1"/>
    <cellStyle name="Output" xfId="1843" builtinId="21" hidden="1"/>
    <cellStyle name="Output" xfId="1877" builtinId="21" hidden="1"/>
    <cellStyle name="Output" xfId="1878" builtinId="21" hidden="1" customBuiltin="1"/>
    <cellStyle name="Output" xfId="1893" builtinId="21" hidden="1"/>
    <cellStyle name="Output" xfId="1925" builtinId="21" hidden="1"/>
    <cellStyle name="Output" xfId="1926" builtinId="21" hidden="1" customBuiltin="1"/>
    <cellStyle name="Output" xfId="1947" builtinId="21" hidden="1"/>
    <cellStyle name="Output" xfId="1980" builtinId="21" hidden="1"/>
    <cellStyle name="Output" xfId="1981" builtinId="21" hidden="1" customBuiltin="1"/>
    <cellStyle name="Output" xfId="1994" builtinId="21" hidden="1"/>
    <cellStyle name="Output" xfId="2027" builtinId="21" hidden="1"/>
    <cellStyle name="Output" xfId="2028" builtinId="21" hidden="1" customBuiltin="1"/>
    <cellStyle name="Output" xfId="2037" builtinId="21" hidden="1"/>
    <cellStyle name="Output" xfId="2070" builtinId="21" hidden="1"/>
    <cellStyle name="Output" xfId="2071" builtinId="21" hidden="1" customBuiltin="1"/>
    <cellStyle name="Output" xfId="2081" builtinId="21" hidden="1"/>
    <cellStyle name="Output" xfId="2113" builtinId="21" hidden="1"/>
    <cellStyle name="Output" xfId="2114" builtinId="21" hidden="1" customBuiltin="1"/>
    <cellStyle name="Output" xfId="2117" builtinId="21" hidden="1"/>
    <cellStyle name="Output" xfId="2149" builtinId="21" hidden="1"/>
    <cellStyle name="Output" xfId="2150" builtinId="21" hidden="1" customBuiltin="1"/>
    <cellStyle name="Output" xfId="2161" builtinId="21" hidden="1"/>
    <cellStyle name="Output" xfId="2193" builtinId="21" hidden="1"/>
    <cellStyle name="Output" xfId="2194" builtinId="21" hidden="1" customBuiltin="1"/>
    <cellStyle name="Output" xfId="2208" builtinId="21" hidden="1"/>
    <cellStyle name="Output" xfId="2241" builtinId="21" hidden="1"/>
    <cellStyle name="Output" xfId="2242" builtinId="21" hidden="1" customBuiltin="1"/>
    <cellStyle name="Output" xfId="2254" builtinId="21" hidden="1"/>
    <cellStyle name="Output" xfId="2287" builtinId="21" hidden="1"/>
    <cellStyle name="Output" xfId="2288" builtinId="21" hidden="1" customBuiltin="1"/>
    <cellStyle name="Output" xfId="2297" builtinId="21" hidden="1"/>
    <cellStyle name="Output" xfId="2330" builtinId="21" hidden="1"/>
    <cellStyle name="Output" xfId="2331" builtinId="21" hidden="1" customBuiltin="1"/>
    <cellStyle name="Output" xfId="2341" builtinId="21" hidden="1"/>
    <cellStyle name="Output" xfId="2373" builtinId="21" hidden="1"/>
    <cellStyle name="Output" xfId="2374" builtinId="21" hidden="1" customBuiltin="1"/>
    <cellStyle name="Output" xfId="1634" builtinId="21" hidden="1"/>
    <cellStyle name="Output" xfId="1662" builtinId="21" hidden="1"/>
    <cellStyle name="Output" xfId="1608" builtinId="21" hidden="1" customBuiltin="1"/>
    <cellStyle name="Output" xfId="2389" builtinId="21" hidden="1"/>
    <cellStyle name="Output" xfId="2422" builtinId="21" hidden="1"/>
    <cellStyle name="Output" xfId="2423" builtinId="21" hidden="1" customBuiltin="1"/>
    <cellStyle name="Output" xfId="2434" builtinId="21" hidden="1"/>
    <cellStyle name="Output" xfId="2467" builtinId="21" hidden="1"/>
    <cellStyle name="Output" xfId="2468" builtinId="21" hidden="1" customBuiltin="1"/>
    <cellStyle name="Output" xfId="2478" builtinId="21" hidden="1"/>
    <cellStyle name="Output" xfId="2511" builtinId="21" hidden="1"/>
    <cellStyle name="Output" xfId="2512" builtinId="21" hidden="1" customBuiltin="1"/>
    <cellStyle name="Output" xfId="2523" builtinId="21" hidden="1"/>
    <cellStyle name="Output" xfId="2556" builtinId="21" hidden="1"/>
    <cellStyle name="Output" xfId="2557" builtinId="21" hidden="1" customBuiltin="1"/>
    <cellStyle name="Output" xfId="2568" builtinId="21" hidden="1"/>
    <cellStyle name="Output" xfId="2602" builtinId="21" hidden="1"/>
    <cellStyle name="Output" xfId="2603" builtinId="21" hidden="1" customBuiltin="1"/>
    <cellStyle name="Output" xfId="2617" builtinId="21" hidden="1"/>
    <cellStyle name="Output" xfId="2649" builtinId="21" hidden="1"/>
    <cellStyle name="Output" xfId="2650" builtinId="21" hidden="1" customBuiltin="1"/>
    <cellStyle name="Output" xfId="2664" builtinId="21" hidden="1"/>
    <cellStyle name="Output" xfId="2697" builtinId="21" hidden="1"/>
    <cellStyle name="Output" xfId="2698" builtinId="21" hidden="1" customBuiltin="1"/>
    <cellStyle name="Output" xfId="2710" builtinId="21" hidden="1"/>
    <cellStyle name="Output" xfId="2743" builtinId="21" hidden="1"/>
    <cellStyle name="Output" xfId="2744" builtinId="21" hidden="1" customBuiltin="1"/>
    <cellStyle name="Output" xfId="2753" builtinId="21" hidden="1"/>
    <cellStyle name="Output" xfId="2786" builtinId="21" hidden="1"/>
    <cellStyle name="Output" xfId="2787" builtinId="21" hidden="1" customBuiltin="1"/>
    <cellStyle name="Output" xfId="2797" builtinId="21" hidden="1"/>
    <cellStyle name="Output" xfId="2829" builtinId="21" hidden="1"/>
    <cellStyle name="Output" xfId="2830" builtinId="21" hidden="1" customBuiltin="1"/>
    <cellStyle name="Output" xfId="2833" builtinId="21" hidden="1"/>
    <cellStyle name="Output" xfId="2865" builtinId="21" hidden="1"/>
    <cellStyle name="Output" xfId="2866" builtinId="21" hidden="1" customBuiltin="1"/>
    <cellStyle name="Output" xfId="2877" builtinId="21" hidden="1"/>
    <cellStyle name="Output" xfId="2909" builtinId="21" hidden="1"/>
    <cellStyle name="Output" xfId="2910" builtinId="21" hidden="1" customBuiltin="1"/>
    <cellStyle name="Output" xfId="2924" builtinId="21" hidden="1"/>
    <cellStyle name="Output" xfId="2957" builtinId="21" hidden="1"/>
    <cellStyle name="Output" xfId="2958" builtinId="21" hidden="1" customBuiltin="1"/>
    <cellStyle name="Output" xfId="2970" builtinId="21" hidden="1"/>
    <cellStyle name="Output" xfId="3003" builtinId="21" hidden="1"/>
    <cellStyle name="Output" xfId="3004" builtinId="21" hidden="1" customBuiltin="1"/>
    <cellStyle name="Output" xfId="3013" builtinId="21" hidden="1"/>
    <cellStyle name="Output" xfId="3046" builtinId="21" hidden="1"/>
    <cellStyle name="Output" xfId="3047" builtinId="21" hidden="1" customBuiltin="1"/>
    <cellStyle name="Output" xfId="3057" builtinId="21" hidden="1"/>
    <cellStyle name="Output" xfId="3089" builtinId="21" hidden="1"/>
    <cellStyle name="Output" xfId="3090" builtinId="21" hidden="1" customBuiltin="1"/>
    <cellStyle name="Percent" xfId="5" builtinId="5" hidden="1"/>
    <cellStyle name="Percent" xfId="51" builtinId="5" hidden="1"/>
    <cellStyle name="Percent" xfId="107" builtinId="5" hidden="1"/>
    <cellStyle name="Percent" xfId="161" builtinId="5" hidden="1"/>
    <cellStyle name="Percent" xfId="203" builtinId="5" hidden="1"/>
    <cellStyle name="Percent" xfId="245" builtinId="5" hidden="1"/>
    <cellStyle name="Percent" xfId="293" builtinId="5" hidden="1"/>
    <cellStyle name="Percent" xfId="344" builtinId="5" hidden="1"/>
    <cellStyle name="Percent" xfId="394" builtinId="5" hidden="1"/>
    <cellStyle name="Percent" xfId="446" builtinId="5" hidden="1"/>
    <cellStyle name="Percent" xfId="487" builtinId="5" hidden="1"/>
    <cellStyle name="Percent" xfId="287" builtinId="5" hidden="1"/>
    <cellStyle name="Percent" xfId="563" builtinId="5" hidden="1"/>
    <cellStyle name="Percent" xfId="607" builtinId="5" hidden="1"/>
    <cellStyle name="Percent" xfId="655" builtinId="5" hidden="1"/>
    <cellStyle name="Percent" xfId="706" builtinId="5" hidden="1"/>
    <cellStyle name="Percent" xfId="747" builtinId="5" hidden="1"/>
    <cellStyle name="Percent" xfId="393" builtinId="5" hidden="1"/>
    <cellStyle name="Percent" xfId="832" builtinId="5" hidden="1"/>
    <cellStyle name="Percent" xfId="877" builtinId="5" hidden="1"/>
    <cellStyle name="Percent" xfId="925" builtinId="5" hidden="1"/>
    <cellStyle name="Percent" xfId="977" builtinId="5" hidden="1"/>
    <cellStyle name="Percent" xfId="1019" builtinId="5" hidden="1"/>
    <cellStyle name="Percent" xfId="1061" builtinId="5" hidden="1"/>
    <cellStyle name="Percent" xfId="1109" builtinId="5" hidden="1"/>
    <cellStyle name="Percent" xfId="1154" builtinId="5" hidden="1"/>
    <cellStyle name="Percent" xfId="1204" builtinId="5" hidden="1"/>
    <cellStyle name="Percent" xfId="1255" builtinId="5" hidden="1"/>
    <cellStyle name="Percent" xfId="1296" builtinId="5" hidden="1"/>
    <cellStyle name="Percent" xfId="1103" builtinId="5" hidden="1"/>
    <cellStyle name="Percent" xfId="1372" builtinId="5" hidden="1"/>
    <cellStyle name="Percent" xfId="1416" builtinId="5" hidden="1"/>
    <cellStyle name="Percent" xfId="1464" builtinId="5" hidden="1"/>
    <cellStyle name="Percent" xfId="1515" builtinId="5" hidden="1"/>
    <cellStyle name="Percent" xfId="1556" builtinId="5" hidden="1"/>
    <cellStyle name="Percent" xfId="1203" builtinId="5" hidden="1"/>
    <cellStyle name="Percent" xfId="1640" builtinId="5" hidden="1"/>
    <cellStyle name="Percent" xfId="1696" builtinId="5" hidden="1"/>
    <cellStyle name="Percent" xfId="1750" builtinId="5" hidden="1"/>
    <cellStyle name="Percent" xfId="1792" builtinId="5" hidden="1"/>
    <cellStyle name="Percent" xfId="1834" builtinId="5" hidden="1"/>
    <cellStyle name="Percent" xfId="1882" builtinId="5" hidden="1"/>
    <cellStyle name="Percent" xfId="1933" builtinId="5" hidden="1"/>
    <cellStyle name="Percent" xfId="1983" builtinId="5" hidden="1"/>
    <cellStyle name="Percent" xfId="2034" builtinId="5" hidden="1"/>
    <cellStyle name="Percent" xfId="2075" builtinId="5" hidden="1"/>
    <cellStyle name="Percent" xfId="1876" builtinId="5" hidden="1"/>
    <cellStyle name="Percent" xfId="2151" builtinId="5" hidden="1"/>
    <cellStyle name="Percent" xfId="2195" builtinId="5" hidden="1"/>
    <cellStyle name="Percent" xfId="2243" builtinId="5" hidden="1"/>
    <cellStyle name="Percent" xfId="2294" builtinId="5" hidden="1"/>
    <cellStyle name="Percent" xfId="2335" builtinId="5" hidden="1"/>
    <cellStyle name="Percent" xfId="1982" builtinId="5" hidden="1"/>
    <cellStyle name="Percent" xfId="2375" builtinId="5" hidden="1"/>
    <cellStyle name="Percent" xfId="2424" builtinId="5" hidden="1"/>
    <cellStyle name="Percent" xfId="2475" builtinId="5" hidden="1"/>
    <cellStyle name="Percent" xfId="2517" builtinId="5" hidden="1"/>
    <cellStyle name="Percent" xfId="2559" builtinId="5" hidden="1"/>
    <cellStyle name="Percent" xfId="2607" builtinId="5" hidden="1"/>
    <cellStyle name="Percent" xfId="2651" builtinId="5" hidden="1"/>
    <cellStyle name="Percent" xfId="2699" builtinId="5" hidden="1"/>
    <cellStyle name="Percent" xfId="2750" builtinId="5" hidden="1"/>
    <cellStyle name="Percent" xfId="2791" builtinId="5" hidden="1"/>
    <cellStyle name="Percent" xfId="2601" builtinId="5" hidden="1"/>
    <cellStyle name="Percent" xfId="2867" builtinId="5" hidden="1"/>
    <cellStyle name="Percent" xfId="2911" builtinId="5" hidden="1"/>
    <cellStyle name="Percent" xfId="2959" builtinId="5" hidden="1"/>
    <cellStyle name="Percent" xfId="3010" builtinId="5" hidden="1"/>
    <cellStyle name="Percent" xfId="3051" builtinId="5" hidden="1"/>
    <cellStyle name="Percent" xfId="3091" builtinId="5"/>
    <cellStyle name="Percent 2" xfId="58" hidden="1"/>
    <cellStyle name="Percent 2" xfId="156" hidden="1"/>
    <cellStyle name="Percent 2" xfId="351" hidden="1"/>
    <cellStyle name="Percent 2" xfId="441" hidden="1"/>
    <cellStyle name="Percent 2" xfId="199" hidden="1"/>
    <cellStyle name="Percent 2" xfId="613" hidden="1"/>
    <cellStyle name="Percent 2" xfId="701" hidden="1"/>
    <cellStyle name="Percent 2" xfId="883" hidden="1"/>
    <cellStyle name="Percent 2" xfId="972" hidden="1"/>
    <cellStyle name="Percent 2" xfId="1161" hidden="1"/>
    <cellStyle name="Percent 2" xfId="1250" hidden="1"/>
    <cellStyle name="Percent 2" xfId="1015" hidden="1"/>
    <cellStyle name="Percent 2" xfId="1422" hidden="1"/>
    <cellStyle name="Percent 2" xfId="1510" hidden="1"/>
    <cellStyle name="Percent 2" xfId="1647" hidden="1"/>
    <cellStyle name="Percent 2" xfId="1745" hidden="1"/>
    <cellStyle name="Percent 2" xfId="1940" hidden="1"/>
    <cellStyle name="Percent 2" xfId="2029" hidden="1"/>
    <cellStyle name="Percent 2" xfId="1788" hidden="1"/>
    <cellStyle name="Percent 2" xfId="2201" hidden="1"/>
    <cellStyle name="Percent 2" xfId="2289" hidden="1"/>
    <cellStyle name="Percent 2" xfId="2382" hidden="1"/>
    <cellStyle name="Percent 2" xfId="2470" hidden="1"/>
    <cellStyle name="Percent 2" xfId="2657" hidden="1"/>
    <cellStyle name="Percent 2" xfId="2745" hidden="1"/>
    <cellStyle name="Percent 2" xfId="2513" hidden="1"/>
    <cellStyle name="Percent 2" xfId="2917" hidden="1"/>
    <cellStyle name="Percent 2" xfId="3005" hidden="1"/>
    <cellStyle name="Percent 2" xfId="3093"/>
    <cellStyle name="Title" xfId="6" builtinId="15" hidden="1"/>
    <cellStyle name="Title" xfId="59" builtinId="15" hidden="1"/>
    <cellStyle name="Title" xfId="114" builtinId="15" hidden="1"/>
    <cellStyle name="Title" xfId="159" builtinId="15" hidden="1"/>
    <cellStyle name="Title" xfId="205" builtinId="15" hidden="1"/>
    <cellStyle name="Title" xfId="248" builtinId="15" hidden="1"/>
    <cellStyle name="Title" xfId="299" builtinId="15" hidden="1"/>
    <cellStyle name="Title" xfId="352" builtinId="15" hidden="1"/>
    <cellStyle name="Title" xfId="400" builtinId="15" hidden="1"/>
    <cellStyle name="Title" xfId="444" builtinId="15" hidden="1"/>
    <cellStyle name="Title" xfId="489" builtinId="15" hidden="1"/>
    <cellStyle name="Title" xfId="291" builtinId="15" hidden="1"/>
    <cellStyle name="Title" xfId="568" builtinId="15" hidden="1"/>
    <cellStyle name="Title" xfId="614" builtinId="15" hidden="1"/>
    <cellStyle name="Title" xfId="660" builtinId="15" hidden="1"/>
    <cellStyle name="Title" xfId="704" builtinId="15" hidden="1"/>
    <cellStyle name="Title" xfId="749" builtinId="15" hidden="1"/>
    <cellStyle name="Title" xfId="790" builtinId="15" hidden="1"/>
    <cellStyle name="Title" xfId="833" builtinId="15" hidden="1"/>
    <cellStyle name="Title" xfId="884" builtinId="15" hidden="1"/>
    <cellStyle name="Title" xfId="930" builtinId="15" hidden="1"/>
    <cellStyle name="Title" xfId="975" builtinId="15" hidden="1"/>
    <cellStyle name="Title" xfId="1021" builtinId="15" hidden="1"/>
    <cellStyle name="Title" xfId="1064" builtinId="15" hidden="1"/>
    <cellStyle name="Title" xfId="1115" builtinId="15" hidden="1"/>
    <cellStyle name="Title" xfId="1162" builtinId="15" hidden="1"/>
    <cellStyle name="Title" xfId="1209" builtinId="15" hidden="1"/>
    <cellStyle name="Title" xfId="1253" builtinId="15" hidden="1"/>
    <cellStyle name="Title" xfId="1298" builtinId="15" hidden="1"/>
    <cellStyle name="Title" xfId="1107" builtinId="15" hidden="1"/>
    <cellStyle name="Title" xfId="1377" builtinId="15" hidden="1"/>
    <cellStyle name="Title" xfId="1423" builtinId="15" hidden="1"/>
    <cellStyle name="Title" xfId="1469" builtinId="15" hidden="1"/>
    <cellStyle name="Title" xfId="1513" builtinId="15" hidden="1"/>
    <cellStyle name="Title" xfId="1558" builtinId="15" hidden="1"/>
    <cellStyle name="Title" xfId="875" builtinId="15" hidden="1"/>
    <cellStyle name="Title" xfId="1648" builtinId="15" hidden="1"/>
    <cellStyle name="Title" xfId="1703" builtinId="15" hidden="1"/>
    <cellStyle name="Title" xfId="1748" builtinId="15" hidden="1"/>
    <cellStyle name="Title" xfId="1794" builtinId="15" hidden="1"/>
    <cellStyle name="Title" xfId="1837" builtinId="15" hidden="1"/>
    <cellStyle name="Title" xfId="1888" builtinId="15" hidden="1"/>
    <cellStyle name="Title" xfId="1941" builtinId="15" hidden="1"/>
    <cellStyle name="Title" xfId="1988" builtinId="15" hidden="1"/>
    <cellStyle name="Title" xfId="2032" builtinId="15" hidden="1"/>
    <cellStyle name="Title" xfId="2077" builtinId="15" hidden="1"/>
    <cellStyle name="Title" xfId="1880" builtinId="15" hidden="1"/>
    <cellStyle name="Title" xfId="2156" builtinId="15" hidden="1"/>
    <cellStyle name="Title" xfId="2202" builtinId="15" hidden="1"/>
    <cellStyle name="Title" xfId="2248" builtinId="15" hidden="1"/>
    <cellStyle name="Title" xfId="2292" builtinId="15" hidden="1"/>
    <cellStyle name="Title" xfId="2337" builtinId="15" hidden="1"/>
    <cellStyle name="Title" xfId="1932" builtinId="15" hidden="1"/>
    <cellStyle name="Title" xfId="2383" builtinId="15" hidden="1"/>
    <cellStyle name="Title" xfId="2428" builtinId="15" hidden="1"/>
    <cellStyle name="Title" xfId="2473" builtinId="15" hidden="1"/>
    <cellStyle name="Title" xfId="2519" builtinId="15" hidden="1"/>
    <cellStyle name="Title" xfId="2562" builtinId="15" hidden="1"/>
    <cellStyle name="Title" xfId="2612" builtinId="15" hidden="1"/>
    <cellStyle name="Title" xfId="2658" builtinId="15" hidden="1"/>
    <cellStyle name="Title" xfId="2704" builtinId="15" hidden="1"/>
    <cellStyle name="Title" xfId="2748" builtinId="15" hidden="1"/>
    <cellStyle name="Title" xfId="2793" builtinId="15" hidden="1"/>
    <cellStyle name="Title" xfId="2605" builtinId="15" hidden="1"/>
    <cellStyle name="Title" xfId="2872" builtinId="15" hidden="1"/>
    <cellStyle name="Title" xfId="2918" builtinId="15" hidden="1"/>
    <cellStyle name="Title" xfId="2964" builtinId="15" hidden="1"/>
    <cellStyle name="Title" xfId="3008" builtinId="15" hidden="1"/>
    <cellStyle name="Title" xfId="3053" builtinId="15" hidden="1"/>
    <cellStyle name="Total" xfId="18" builtinId="25" hidden="1"/>
    <cellStyle name="Total" xfId="72" builtinId="25" hidden="1"/>
    <cellStyle name="Total" xfId="127" builtinId="25" hidden="1"/>
    <cellStyle name="Total" xfId="171" builtinId="25" hidden="1"/>
    <cellStyle name="Total" xfId="216" builtinId="25" hidden="1"/>
    <cellStyle name="Total" xfId="261" builtinId="25" hidden="1"/>
    <cellStyle name="Total" xfId="311" builtinId="25" hidden="1"/>
    <cellStyle name="Total" xfId="365" builtinId="25" hidden="1"/>
    <cellStyle name="Total" xfId="413" builtinId="25" hidden="1"/>
    <cellStyle name="Total" xfId="456" builtinId="25" hidden="1"/>
    <cellStyle name="Total" xfId="500" builtinId="25" hidden="1"/>
    <cellStyle name="Total" xfId="536" builtinId="25" hidden="1"/>
    <cellStyle name="Total" xfId="580" builtinId="25" hidden="1"/>
    <cellStyle name="Total" xfId="627" builtinId="25" hidden="1"/>
    <cellStyle name="Total" xfId="673" builtinId="25" hidden="1"/>
    <cellStyle name="Total" xfId="716" builtinId="25" hidden="1"/>
    <cellStyle name="Total" xfId="760" builtinId="25" hidden="1"/>
    <cellStyle name="Total" xfId="803" builtinId="25" hidden="1"/>
    <cellStyle name="Total" xfId="845" builtinId="25" hidden="1"/>
    <cellStyle name="Total" xfId="897" builtinId="25" hidden="1"/>
    <cellStyle name="Total" xfId="943" builtinId="25" hidden="1"/>
    <cellStyle name="Total" xfId="987" builtinId="25" hidden="1"/>
    <cellStyle name="Total" xfId="1032" builtinId="25" hidden="1"/>
    <cellStyle name="Total" xfId="1077" builtinId="25" hidden="1"/>
    <cellStyle name="Total" xfId="1127" builtinId="25" hidden="1"/>
    <cellStyle name="Total" xfId="1175" builtinId="25" hidden="1"/>
    <cellStyle name="Total" xfId="1222" builtinId="25" hidden="1"/>
    <cellStyle name="Total" xfId="1265" builtinId="25" hidden="1"/>
    <cellStyle name="Total" xfId="1309" builtinId="25" hidden="1"/>
    <cellStyle name="Total" xfId="1345" builtinId="25" hidden="1"/>
    <cellStyle name="Total" xfId="1389" builtinId="25" hidden="1"/>
    <cellStyle name="Total" xfId="1436" builtinId="25" hidden="1"/>
    <cellStyle name="Total" xfId="1482" builtinId="25" hidden="1"/>
    <cellStyle name="Total" xfId="1525" builtinId="25" hidden="1"/>
    <cellStyle name="Total" xfId="1569" builtinId="25" hidden="1"/>
    <cellStyle name="Total" xfId="1607" builtinId="25" hidden="1"/>
    <cellStyle name="Total" xfId="1661" builtinId="25" hidden="1"/>
    <cellStyle name="Total" xfId="1716" builtinId="25" hidden="1"/>
    <cellStyle name="Total" xfId="1760" builtinId="25" hidden="1"/>
    <cellStyle name="Total" xfId="1805" builtinId="25" hidden="1"/>
    <cellStyle name="Total" xfId="1850" builtinId="25" hidden="1"/>
    <cellStyle name="Total" xfId="1900" builtinId="25" hidden="1"/>
    <cellStyle name="Total" xfId="1954" builtinId="25" hidden="1"/>
    <cellStyle name="Total" xfId="2001" builtinId="25" hidden="1"/>
    <cellStyle name="Total" xfId="2044" builtinId="25" hidden="1"/>
    <cellStyle name="Total" xfId="2088" builtinId="25" hidden="1"/>
    <cellStyle name="Total" xfId="2124" builtinId="25" hidden="1"/>
    <cellStyle name="Total" xfId="2168" builtinId="25" hidden="1"/>
    <cellStyle name="Total" xfId="2215" builtinId="25" hidden="1"/>
    <cellStyle name="Total" xfId="2261" builtinId="25" hidden="1"/>
    <cellStyle name="Total" xfId="2304" builtinId="25" hidden="1"/>
    <cellStyle name="Total" xfId="2348" builtinId="25" hidden="1"/>
    <cellStyle name="Total" xfId="1931" builtinId="25" hidden="1"/>
    <cellStyle name="Total" xfId="2396" builtinId="25" hidden="1"/>
    <cellStyle name="Total" xfId="2441" builtinId="25" hidden="1"/>
    <cellStyle name="Total" xfId="2485" builtinId="25" hidden="1"/>
    <cellStyle name="Total" xfId="2530" builtinId="25" hidden="1"/>
    <cellStyle name="Total" xfId="2575" builtinId="25" hidden="1"/>
    <cellStyle name="Total" xfId="2624" builtinId="25" hidden="1"/>
    <cellStyle name="Total" xfId="2671" builtinId="25" hidden="1"/>
    <cellStyle name="Total" xfId="2717" builtinId="25" hidden="1"/>
    <cellStyle name="Total" xfId="2760" builtinId="25" hidden="1"/>
    <cellStyle name="Total" xfId="2804" builtinId="25" hidden="1"/>
    <cellStyle name="Total" xfId="2840" builtinId="25" hidden="1"/>
    <cellStyle name="Total" xfId="2884" builtinId="25" hidden="1"/>
    <cellStyle name="Total" xfId="2931" builtinId="25" hidden="1"/>
    <cellStyle name="Total" xfId="2977" builtinId="25" hidden="1"/>
    <cellStyle name="Total" xfId="3020" builtinId="25" hidden="1"/>
    <cellStyle name="Total" xfId="3064" builtinId="25" hidden="1"/>
    <cellStyle name="Warning Text" xfId="15" builtinId="11" hidden="1"/>
    <cellStyle name="Warning Text" xfId="69" builtinId="11" hidden="1"/>
    <cellStyle name="Warning Text" xfId="124" builtinId="11" hidden="1"/>
    <cellStyle name="Warning Text" xfId="168" builtinId="11" hidden="1"/>
    <cellStyle name="Warning Text" xfId="213" builtinId="11" hidden="1"/>
    <cellStyle name="Warning Text" xfId="258" builtinId="11" hidden="1"/>
    <cellStyle name="Warning Text" xfId="308" builtinId="11" hidden="1"/>
    <cellStyle name="Warning Text" xfId="362" builtinId="11" hidden="1"/>
    <cellStyle name="Warning Text" xfId="410" builtinId="11" hidden="1"/>
    <cellStyle name="Warning Text" xfId="453" builtinId="11" hidden="1"/>
    <cellStyle name="Warning Text" xfId="497" builtinId="11" hidden="1"/>
    <cellStyle name="Warning Text" xfId="533" builtinId="11" hidden="1"/>
    <cellStyle name="Warning Text" xfId="577" builtinId="11" hidden="1"/>
    <cellStyle name="Warning Text" xfId="624" builtinId="11" hidden="1"/>
    <cellStyle name="Warning Text" xfId="670" builtinId="11" hidden="1"/>
    <cellStyle name="Warning Text" xfId="713" builtinId="11" hidden="1"/>
    <cellStyle name="Warning Text" xfId="757" builtinId="11" hidden="1"/>
    <cellStyle name="Warning Text" xfId="800" builtinId="11" hidden="1"/>
    <cellStyle name="Warning Text" xfId="842" builtinId="11" hidden="1"/>
    <cellStyle name="Warning Text" xfId="894" builtinId="11" hidden="1"/>
    <cellStyle name="Warning Text" xfId="940" builtinId="11" hidden="1"/>
    <cellStyle name="Warning Text" xfId="984" builtinId="11" hidden="1"/>
    <cellStyle name="Warning Text" xfId="1029" builtinId="11" hidden="1"/>
    <cellStyle name="Warning Text" xfId="1074" builtinId="11" hidden="1"/>
    <cellStyle name="Warning Text" xfId="1124" builtinId="11" hidden="1"/>
    <cellStyle name="Warning Text" xfId="1172" builtinId="11" hidden="1"/>
    <cellStyle name="Warning Text" xfId="1219" builtinId="11" hidden="1"/>
    <cellStyle name="Warning Text" xfId="1262" builtinId="11" hidden="1"/>
    <cellStyle name="Warning Text" xfId="1306" builtinId="11" hidden="1"/>
    <cellStyle name="Warning Text" xfId="1342" builtinId="11" hidden="1"/>
    <cellStyle name="Warning Text" xfId="1386" builtinId="11" hidden="1"/>
    <cellStyle name="Warning Text" xfId="1433" builtinId="11" hidden="1"/>
    <cellStyle name="Warning Text" xfId="1479" builtinId="11" hidden="1"/>
    <cellStyle name="Warning Text" xfId="1522" builtinId="11" hidden="1"/>
    <cellStyle name="Warning Text" xfId="1566" builtinId="11" hidden="1"/>
    <cellStyle name="Warning Text" xfId="1604" builtinId="11" hidden="1"/>
    <cellStyle name="Warning Text" xfId="1658" builtinId="11" hidden="1"/>
    <cellStyle name="Warning Text" xfId="1713" builtinId="11" hidden="1"/>
    <cellStyle name="Warning Text" xfId="1757" builtinId="11" hidden="1"/>
    <cellStyle name="Warning Text" xfId="1802" builtinId="11" hidden="1"/>
    <cellStyle name="Warning Text" xfId="1847" builtinId="11" hidden="1"/>
    <cellStyle name="Warning Text" xfId="1897" builtinId="11" hidden="1"/>
    <cellStyle name="Warning Text" xfId="1951" builtinId="11" hidden="1"/>
    <cellStyle name="Warning Text" xfId="1998" builtinId="11" hidden="1"/>
    <cellStyle name="Warning Text" xfId="2041" builtinId="11" hidden="1"/>
    <cellStyle name="Warning Text" xfId="2085" builtinId="11" hidden="1"/>
    <cellStyle name="Warning Text" xfId="2121" builtinId="11" hidden="1"/>
    <cellStyle name="Warning Text" xfId="2165" builtinId="11" hidden="1"/>
    <cellStyle name="Warning Text" xfId="2212" builtinId="11" hidden="1"/>
    <cellStyle name="Warning Text" xfId="2258" builtinId="11" hidden="1"/>
    <cellStyle name="Warning Text" xfId="2301" builtinId="11" hidden="1"/>
    <cellStyle name="Warning Text" xfId="2345" builtinId="11" hidden="1"/>
    <cellStyle name="Warning Text" xfId="1928" builtinId="11" hidden="1"/>
    <cellStyle name="Warning Text" xfId="2393" builtinId="11" hidden="1"/>
    <cellStyle name="Warning Text" xfId="2438" builtinId="11" hidden="1"/>
    <cellStyle name="Warning Text" xfId="2482" builtinId="11" hidden="1"/>
    <cellStyle name="Warning Text" xfId="2527" builtinId="11" hidden="1"/>
    <cellStyle name="Warning Text" xfId="2572" builtinId="11" hidden="1"/>
    <cellStyle name="Warning Text" xfId="2621" builtinId="11" hidden="1"/>
    <cellStyle name="Warning Text" xfId="2668" builtinId="11" hidden="1"/>
    <cellStyle name="Warning Text" xfId="2714" builtinId="11" hidden="1"/>
    <cellStyle name="Warning Text" xfId="2757" builtinId="11" hidden="1"/>
    <cellStyle name="Warning Text" xfId="2801" builtinId="11" hidden="1"/>
    <cellStyle name="Warning Text" xfId="2837" builtinId="11" hidden="1"/>
    <cellStyle name="Warning Text" xfId="2881" builtinId="11" hidden="1"/>
    <cellStyle name="Warning Text" xfId="2928" builtinId="11" hidden="1"/>
    <cellStyle name="Warning Text" xfId="2974" builtinId="11" hidden="1"/>
    <cellStyle name="Warning Text" xfId="3017" builtinId="11" hidden="1"/>
    <cellStyle name="Warning Text" xfId="3061" builtinId="11" hidden="1"/>
  </cellStyles>
  <dxfs count="38">
    <dxf>
      <fill>
        <patternFill>
          <bgColor theme="9" tint="0.59999389629810485"/>
        </patternFill>
      </fill>
    </dxf>
    <dxf>
      <border>
        <top/>
        <bottom/>
      </border>
    </dxf>
    <dxf>
      <border>
        <top/>
        <bottom/>
      </border>
    </dxf>
    <dxf>
      <font>
        <b/>
      </font>
    </dxf>
    <dxf>
      <font>
        <color theme="0"/>
      </font>
    </dxf>
    <dxf>
      <fill>
        <patternFill>
          <bgColor theme="3"/>
        </patternFill>
      </fill>
    </dxf>
    <dxf>
      <font>
        <b/>
      </font>
    </dxf>
    <dxf>
      <font>
        <color theme="0"/>
      </font>
    </dxf>
    <dxf>
      <fill>
        <patternFill>
          <bgColor theme="3"/>
        </patternFill>
      </fill>
    </dxf>
    <dxf>
      <font>
        <b/>
      </font>
    </dxf>
    <dxf>
      <font>
        <b/>
      </font>
    </dxf>
    <dxf>
      <font>
        <color theme="0"/>
      </font>
    </dxf>
    <dxf>
      <font>
        <color theme="0"/>
      </font>
    </dxf>
    <dxf>
      <fill>
        <patternFill>
          <bgColor theme="3"/>
        </patternFill>
      </fill>
    </dxf>
    <dxf>
      <fill>
        <patternFill>
          <bgColor theme="3"/>
        </patternFill>
      </fill>
    </dxf>
    <dxf>
      <font>
        <sz val="10"/>
      </font>
    </dxf>
    <dxf>
      <fill>
        <patternFill patternType="solid">
          <bgColor theme="0"/>
        </patternFill>
      </fill>
    </dxf>
    <dxf>
      <numFmt numFmtId="13" formatCode="0%"/>
    </dxf>
    <dxf>
      <numFmt numFmtId="13" formatCode="0%"/>
    </dxf>
    <dxf>
      <fill>
        <patternFill>
          <bgColor theme="9" tint="0.59999389629810485"/>
        </patternFill>
      </fill>
    </dxf>
    <dxf>
      <border>
        <top/>
        <bottom/>
      </border>
    </dxf>
    <dxf>
      <border>
        <top/>
        <bottom/>
      </border>
    </dxf>
    <dxf>
      <border>
        <top style="thin">
          <color indexed="64"/>
        </top>
        <bottom style="double">
          <color indexed="64"/>
        </bottom>
      </border>
    </dxf>
    <dxf>
      <font>
        <b/>
      </font>
    </dxf>
    <dxf>
      <font>
        <b/>
      </font>
    </dxf>
    <dxf>
      <font>
        <color theme="0"/>
      </font>
    </dxf>
    <dxf>
      <fill>
        <patternFill>
          <bgColor theme="3"/>
        </patternFill>
      </fill>
    </dxf>
    <dxf>
      <font>
        <color theme="0"/>
      </font>
    </dxf>
    <dxf>
      <fill>
        <patternFill>
          <bgColor theme="3"/>
        </patternFill>
      </fill>
    </dxf>
    <dxf>
      <font>
        <b/>
      </font>
    </dxf>
    <dxf>
      <font>
        <b/>
      </font>
    </dxf>
    <dxf>
      <font>
        <color theme="0"/>
      </font>
    </dxf>
    <dxf>
      <font>
        <color theme="0"/>
      </font>
    </dxf>
    <dxf>
      <fill>
        <patternFill>
          <bgColor theme="3"/>
        </patternFill>
      </fill>
    </dxf>
    <dxf>
      <fill>
        <patternFill>
          <bgColor theme="3"/>
        </patternFill>
      </fill>
    </dxf>
    <dxf>
      <font>
        <sz val="10"/>
      </font>
    </dxf>
    <dxf>
      <fill>
        <patternFill patternType="solid">
          <bgColor theme="0"/>
        </patternFill>
      </fill>
    </dxf>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pivotCacheDefinition" Target="pivotCache/pivotCacheDefinition1.xml"/><Relationship Id="rId47" Type="http://schemas.openxmlformats.org/officeDocument/2006/relationships/calcChain" Target="calcChain.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pivotCacheDefinition" Target="pivotCache/pivotCacheDefinition2.xml"/><Relationship Id="rId48" Type="http://schemas.microsoft.com/office/2006/relationships/vbaProject" Target="vbaProject.bin"/><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i="1" u="sng"/>
              <a:t>CP CAPEX</a:t>
            </a:r>
            <a:r>
              <a:rPr lang="en-GB" i="1" u="sng" baseline="0"/>
              <a:t> and OPEX costs (£000's)</a:t>
            </a:r>
            <a:endParaRPr lang="en-GB" i="1" u="sng"/>
          </a:p>
        </c:rich>
      </c:tx>
      <c:overlay val="1"/>
    </c:title>
    <c:plotArea>
      <c:layout>
        <c:manualLayout>
          <c:layoutTarget val="inner"/>
          <c:xMode val="edge"/>
          <c:yMode val="edge"/>
          <c:x val="0.10708573928258981"/>
          <c:y val="0.17072871218899793"/>
          <c:w val="0.72530424321959852"/>
          <c:h val="0.73444207255825766"/>
        </c:manualLayout>
      </c:layout>
      <c:barChart>
        <c:barDir val="col"/>
        <c:grouping val="clustered"/>
        <c:ser>
          <c:idx val="0"/>
          <c:order val="0"/>
          <c:tx>
            <c:strRef>
              <c:f>'Independent Per CP Summary'!$H$28</c:f>
              <c:strCache>
                <c:ptCount val="1"/>
                <c:pt idx="0">
                  <c:v>CAPEX</c:v>
                </c:pt>
              </c:strCache>
            </c:strRef>
          </c:tx>
          <c:dLbls>
            <c:showVal val="1"/>
          </c:dLbls>
          <c:cat>
            <c:strRef>
              <c:f>'Independent Per CP Summary'!$G$29:$G$31</c:f>
              <c:strCache>
                <c:ptCount val="3"/>
                <c:pt idx="0">
                  <c:v>USN</c:v>
                </c:pt>
                <c:pt idx="1">
                  <c:v>TPV</c:v>
                </c:pt>
                <c:pt idx="2">
                  <c:v>LPL</c:v>
                </c:pt>
              </c:strCache>
            </c:strRef>
          </c:cat>
          <c:val>
            <c:numRef>
              <c:f>'Independent Per CP Summary'!$H$29:$H$31</c:f>
              <c:numCache>
                <c:formatCode>_-* #,##0_-;\-* #,##0_-;_-* "-"??_-;_-@_-</c:formatCode>
                <c:ptCount val="3"/>
                <c:pt idx="0">
                  <c:v>1670000</c:v>
                </c:pt>
                <c:pt idx="1">
                  <c:v>1420000</c:v>
                </c:pt>
                <c:pt idx="2">
                  <c:v>570000</c:v>
                </c:pt>
              </c:numCache>
            </c:numRef>
          </c:val>
        </c:ser>
        <c:ser>
          <c:idx val="1"/>
          <c:order val="1"/>
          <c:tx>
            <c:strRef>
              <c:f>'Independent Per CP Summary'!$I$28</c:f>
              <c:strCache>
                <c:ptCount val="1"/>
                <c:pt idx="0">
                  <c:v>OPEX</c:v>
                </c:pt>
              </c:strCache>
            </c:strRef>
          </c:tx>
          <c:dLbls>
            <c:showVal val="1"/>
          </c:dLbls>
          <c:cat>
            <c:strRef>
              <c:f>'Independent Per CP Summary'!$G$29:$G$31</c:f>
              <c:strCache>
                <c:ptCount val="3"/>
                <c:pt idx="0">
                  <c:v>USN</c:v>
                </c:pt>
                <c:pt idx="1">
                  <c:v>TPV</c:v>
                </c:pt>
                <c:pt idx="2">
                  <c:v>LPL</c:v>
                </c:pt>
              </c:strCache>
            </c:strRef>
          </c:cat>
          <c:val>
            <c:numRef>
              <c:f>'Independent Per CP Summary'!$I$29:$I$31</c:f>
              <c:numCache>
                <c:formatCode>_-* #,##0_-;\-* #,##0_-;_-* "-"??_-;_-@_-</c:formatCode>
                <c:ptCount val="3"/>
                <c:pt idx="0">
                  <c:v>690000</c:v>
                </c:pt>
                <c:pt idx="1">
                  <c:v>1830000</c:v>
                </c:pt>
                <c:pt idx="2">
                  <c:v>850000</c:v>
                </c:pt>
              </c:numCache>
            </c:numRef>
          </c:val>
        </c:ser>
        <c:dLbls/>
        <c:axId val="139889280"/>
        <c:axId val="171516288"/>
      </c:barChart>
      <c:catAx>
        <c:axId val="139889280"/>
        <c:scaling>
          <c:orientation val="minMax"/>
        </c:scaling>
        <c:axPos val="b"/>
        <c:tickLblPos val="nextTo"/>
        <c:crossAx val="171516288"/>
        <c:crosses val="autoZero"/>
        <c:auto val="1"/>
        <c:lblAlgn val="ctr"/>
        <c:lblOffset val="100"/>
      </c:catAx>
      <c:valAx>
        <c:axId val="171516288"/>
        <c:scaling>
          <c:orientation val="minMax"/>
        </c:scaling>
        <c:axPos val="l"/>
        <c:numFmt formatCode="_-* #,##0_-;\-* #,##0_-;_-* &quot;-&quot;??_-;_-@_-" sourceLinked="1"/>
        <c:tickLblPos val="nextTo"/>
        <c:crossAx val="139889280"/>
        <c:crosses val="autoZero"/>
        <c:crossBetween val="between"/>
        <c:dispUnits>
          <c:builtInUnit val="thousands"/>
        </c:dispUnits>
      </c:valAx>
    </c:plotArea>
    <c:legend>
      <c:legendPos val="r"/>
    </c:legend>
    <c:plotVisOnly val="1"/>
    <c:dispBlanksAs val="gap"/>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title>
      <c:tx>
        <c:rich>
          <a:bodyPr/>
          <a:lstStyle/>
          <a:p>
            <a:pPr>
              <a:defRPr/>
            </a:pPr>
            <a:r>
              <a:rPr lang="en-GB" i="1" u="sng"/>
              <a:t>Central CAPEX</a:t>
            </a:r>
            <a:r>
              <a:rPr lang="en-GB" i="1" u="sng" baseline="0"/>
              <a:t> and OPEX costs (£000's)</a:t>
            </a:r>
            <a:endParaRPr lang="en-GB" i="1" u="sng"/>
          </a:p>
        </c:rich>
      </c:tx>
      <c:overlay val="1"/>
    </c:title>
    <c:plotArea>
      <c:layout>
        <c:manualLayout>
          <c:layoutTarget val="inner"/>
          <c:xMode val="edge"/>
          <c:yMode val="edge"/>
          <c:x val="0.10708573928258981"/>
          <c:y val="0.17072871218899793"/>
          <c:w val="0.72530424321959852"/>
          <c:h val="0.73444207255825766"/>
        </c:manualLayout>
      </c:layout>
      <c:barChart>
        <c:barDir val="col"/>
        <c:grouping val="clustered"/>
        <c:ser>
          <c:idx val="0"/>
          <c:order val="0"/>
          <c:tx>
            <c:strRef>
              <c:f>'Independent Per CP Summary'!$N$28</c:f>
              <c:strCache>
                <c:ptCount val="1"/>
                <c:pt idx="0">
                  <c:v>CAPEX</c:v>
                </c:pt>
              </c:strCache>
            </c:strRef>
          </c:tx>
          <c:dLbls>
            <c:showVal val="1"/>
          </c:dLbls>
          <c:cat>
            <c:strRef>
              <c:f>'Independent Per CP Summary'!$G$29:$G$31</c:f>
              <c:strCache>
                <c:ptCount val="3"/>
                <c:pt idx="0">
                  <c:v>USN</c:v>
                </c:pt>
                <c:pt idx="1">
                  <c:v>TPV</c:v>
                </c:pt>
                <c:pt idx="2">
                  <c:v>LPL</c:v>
                </c:pt>
              </c:strCache>
            </c:strRef>
          </c:cat>
          <c:val>
            <c:numRef>
              <c:f>'Independent Per CP Summary'!$N$29:$N$31</c:f>
              <c:numCache>
                <c:formatCode>_-* #,##0_-;\-* #,##0_-;_-* "-"??_-;_-@_-</c:formatCode>
                <c:ptCount val="3"/>
                <c:pt idx="0">
                  <c:v>1940000</c:v>
                </c:pt>
                <c:pt idx="1">
                  <c:v>1570000</c:v>
                </c:pt>
                <c:pt idx="2">
                  <c:v>370000</c:v>
                </c:pt>
              </c:numCache>
            </c:numRef>
          </c:val>
        </c:ser>
        <c:ser>
          <c:idx val="1"/>
          <c:order val="1"/>
          <c:tx>
            <c:strRef>
              <c:f>'Independent Per CP Summary'!$O$28</c:f>
              <c:strCache>
                <c:ptCount val="1"/>
                <c:pt idx="0">
                  <c:v>OPEX</c:v>
                </c:pt>
              </c:strCache>
            </c:strRef>
          </c:tx>
          <c:dLbls>
            <c:showVal val="1"/>
          </c:dLbls>
          <c:cat>
            <c:strRef>
              <c:f>'Independent Per CP Summary'!$G$29:$G$31</c:f>
              <c:strCache>
                <c:ptCount val="3"/>
                <c:pt idx="0">
                  <c:v>USN</c:v>
                </c:pt>
                <c:pt idx="1">
                  <c:v>TPV</c:v>
                </c:pt>
                <c:pt idx="2">
                  <c:v>LPL</c:v>
                </c:pt>
              </c:strCache>
            </c:strRef>
          </c:cat>
          <c:val>
            <c:numRef>
              <c:f>'Independent Per CP Summary'!$O$29:$O$31</c:f>
              <c:numCache>
                <c:formatCode>_-* #,##0_-;\-* #,##0_-;_-* "-"??_-;_-@_-</c:formatCode>
                <c:ptCount val="3"/>
                <c:pt idx="0">
                  <c:v>1060000</c:v>
                </c:pt>
                <c:pt idx="1">
                  <c:v>890000</c:v>
                </c:pt>
                <c:pt idx="2">
                  <c:v>500000</c:v>
                </c:pt>
              </c:numCache>
            </c:numRef>
          </c:val>
        </c:ser>
        <c:dLbls/>
        <c:axId val="171554688"/>
        <c:axId val="171556224"/>
      </c:barChart>
      <c:catAx>
        <c:axId val="171554688"/>
        <c:scaling>
          <c:orientation val="minMax"/>
        </c:scaling>
        <c:axPos val="b"/>
        <c:tickLblPos val="nextTo"/>
        <c:crossAx val="171556224"/>
        <c:crosses val="autoZero"/>
        <c:auto val="1"/>
        <c:lblAlgn val="ctr"/>
        <c:lblOffset val="100"/>
      </c:catAx>
      <c:valAx>
        <c:axId val="171556224"/>
        <c:scaling>
          <c:orientation val="minMax"/>
        </c:scaling>
        <c:axPos val="l"/>
        <c:numFmt formatCode="_-* #,##0_-;\-* #,##0_-;_-* &quot;-&quot;??_-;_-@_-" sourceLinked="1"/>
        <c:tickLblPos val="nextTo"/>
        <c:crossAx val="171554688"/>
        <c:crosses val="autoZero"/>
        <c:crossBetween val="between"/>
        <c:dispUnits>
          <c:builtInUnit val="thousands"/>
        </c:dispUnits>
      </c:valAx>
    </c:plotArea>
    <c:legend>
      <c:legendPos val="r"/>
    </c:legend>
    <c:plotVisOnly val="1"/>
    <c:dispBlanksAs val="gap"/>
  </c:chart>
  <c:printSettings>
    <c:headerFooter/>
    <c:pageMargins b="0.75000000000000056" l="0.70000000000000051" r="0.70000000000000051" t="0.75000000000000056" header="0.30000000000000027" footer="0.30000000000000027"/>
    <c:pageSetup/>
  </c:printSettings>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290232</xdr:colOff>
      <xdr:row>6</xdr:row>
      <xdr:rowOff>1</xdr:rowOff>
    </xdr:from>
    <xdr:to>
      <xdr:col>2</xdr:col>
      <xdr:colOff>36318</xdr:colOff>
      <xdr:row>11</xdr:row>
      <xdr:rowOff>1</xdr:rowOff>
    </xdr:to>
    <xdr:grpSp>
      <xdr:nvGrpSpPr>
        <xdr:cNvPr id="2" name="Group 1"/>
        <xdr:cNvGrpSpPr/>
      </xdr:nvGrpSpPr>
      <xdr:grpSpPr>
        <a:xfrm>
          <a:off x="290232" y="1143001"/>
          <a:ext cx="956321" cy="952500"/>
          <a:chOff x="2745817" y="1062316"/>
          <a:chExt cx="1749425" cy="1570037"/>
        </a:xfrm>
      </xdr:grpSpPr>
      <xdr:sp macro="" textlink="">
        <xdr:nvSpPr>
          <xdr:cNvPr id="3" name="Freeform 2"/>
          <xdr:cNvSpPr>
            <a:spLocks/>
          </xdr:cNvSpPr>
        </xdr:nvSpPr>
        <xdr:spPr bwMode="auto">
          <a:xfrm>
            <a:off x="2745817" y="1063903"/>
            <a:ext cx="1554163" cy="601663"/>
          </a:xfrm>
          <a:custGeom>
            <a:avLst/>
            <a:gdLst>
              <a:gd name="T0" fmla="*/ 0 w 2822"/>
              <a:gd name="T1" fmla="*/ 2147483647 h 1091"/>
              <a:gd name="T2" fmla="*/ 2147483647 w 2822"/>
              <a:gd name="T3" fmla="*/ 0 h 1091"/>
              <a:gd name="T4" fmla="*/ 2147483647 w 2822"/>
              <a:gd name="T5" fmla="*/ 0 h 1091"/>
              <a:gd name="T6" fmla="*/ 0 w 2822"/>
              <a:gd name="T7" fmla="*/ 2147483647 h 1091"/>
              <a:gd name="T8" fmla="*/ 0 w 2822"/>
              <a:gd name="T9" fmla="*/ 2147483647 h 1091"/>
              <a:gd name="T10" fmla="*/ 0 60000 65536"/>
              <a:gd name="T11" fmla="*/ 0 60000 65536"/>
              <a:gd name="T12" fmla="*/ 0 60000 65536"/>
              <a:gd name="T13" fmla="*/ 0 60000 65536"/>
              <a:gd name="T14" fmla="*/ 0 60000 65536"/>
              <a:gd name="T15" fmla="*/ 0 w 2822"/>
              <a:gd name="T16" fmla="*/ 0 h 1091"/>
              <a:gd name="T17" fmla="*/ 2822 w 2822"/>
              <a:gd name="T18" fmla="*/ 1091 h 1091"/>
            </a:gdLst>
            <a:ahLst/>
            <a:cxnLst>
              <a:cxn ang="T10">
                <a:pos x="T0" y="T1"/>
              </a:cxn>
              <a:cxn ang="T11">
                <a:pos x="T2" y="T3"/>
              </a:cxn>
              <a:cxn ang="T12">
                <a:pos x="T4" y="T5"/>
              </a:cxn>
              <a:cxn ang="T13">
                <a:pos x="T6" y="T7"/>
              </a:cxn>
              <a:cxn ang="T14">
                <a:pos x="T8" y="T9"/>
              </a:cxn>
            </a:cxnLst>
            <a:rect l="T15" t="T16" r="T17" b="T18"/>
            <a:pathLst>
              <a:path w="2822" h="1091">
                <a:moveTo>
                  <a:pt x="0" y="992"/>
                </a:moveTo>
                <a:cubicBezTo>
                  <a:pt x="1494" y="891"/>
                  <a:pt x="1879" y="266"/>
                  <a:pt x="1886" y="0"/>
                </a:cubicBezTo>
                <a:cubicBezTo>
                  <a:pt x="2822" y="0"/>
                  <a:pt x="2822" y="0"/>
                  <a:pt x="2822" y="0"/>
                </a:cubicBezTo>
                <a:cubicBezTo>
                  <a:pt x="2173" y="792"/>
                  <a:pt x="1020" y="1080"/>
                  <a:pt x="0" y="1091"/>
                </a:cubicBezTo>
                <a:lnTo>
                  <a:pt x="0" y="992"/>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4" name="Freeform 3"/>
          <xdr:cNvSpPr>
            <a:spLocks/>
          </xdr:cNvSpPr>
        </xdr:nvSpPr>
        <xdr:spPr bwMode="auto">
          <a:xfrm>
            <a:off x="2745817" y="1062316"/>
            <a:ext cx="1749425" cy="669925"/>
          </a:xfrm>
          <a:custGeom>
            <a:avLst/>
            <a:gdLst>
              <a:gd name="T0" fmla="*/ 0 w 3176"/>
              <a:gd name="T1" fmla="*/ 2147483647 h 1214"/>
              <a:gd name="T2" fmla="*/ 0 w 3176"/>
              <a:gd name="T3" fmla="*/ 2147483647 h 1214"/>
              <a:gd name="T4" fmla="*/ 2147483647 w 3176"/>
              <a:gd name="T5" fmla="*/ 2147483647 h 1214"/>
              <a:gd name="T6" fmla="*/ 2147483647 w 3176"/>
              <a:gd name="T7" fmla="*/ 0 h 1214"/>
              <a:gd name="T8" fmla="*/ 0 w 3176"/>
              <a:gd name="T9" fmla="*/ 2147483647 h 1214"/>
              <a:gd name="T10" fmla="*/ 0 60000 65536"/>
              <a:gd name="T11" fmla="*/ 0 60000 65536"/>
              <a:gd name="T12" fmla="*/ 0 60000 65536"/>
              <a:gd name="T13" fmla="*/ 0 60000 65536"/>
              <a:gd name="T14" fmla="*/ 0 60000 65536"/>
              <a:gd name="T15" fmla="*/ 0 w 3176"/>
              <a:gd name="T16" fmla="*/ 0 h 1214"/>
              <a:gd name="T17" fmla="*/ 3176 w 3176"/>
              <a:gd name="T18" fmla="*/ 1214 h 1214"/>
            </a:gdLst>
            <a:ahLst/>
            <a:cxnLst>
              <a:cxn ang="T10">
                <a:pos x="T0" y="T1"/>
              </a:cxn>
              <a:cxn ang="T11">
                <a:pos x="T2" y="T3"/>
              </a:cxn>
              <a:cxn ang="T12">
                <a:pos x="T4" y="T5"/>
              </a:cxn>
              <a:cxn ang="T13">
                <a:pos x="T6" y="T7"/>
              </a:cxn>
              <a:cxn ang="T14">
                <a:pos x="T8" y="T9"/>
              </a:cxn>
            </a:cxnLst>
            <a:rect l="T15" t="T16" r="T17" b="T18"/>
            <a:pathLst>
              <a:path w="3176" h="1214">
                <a:moveTo>
                  <a:pt x="0" y="1140"/>
                </a:moveTo>
                <a:cubicBezTo>
                  <a:pt x="0" y="1214"/>
                  <a:pt x="0" y="1214"/>
                  <a:pt x="0" y="1214"/>
                </a:cubicBezTo>
                <a:cubicBezTo>
                  <a:pt x="1087" y="1214"/>
                  <a:pt x="2377" y="1133"/>
                  <a:pt x="3176" y="733"/>
                </a:cubicBezTo>
                <a:cubicBezTo>
                  <a:pt x="3176" y="0"/>
                  <a:pt x="3176" y="0"/>
                  <a:pt x="3176" y="0"/>
                </a:cubicBezTo>
                <a:cubicBezTo>
                  <a:pt x="2830" y="448"/>
                  <a:pt x="1952" y="1101"/>
                  <a:pt x="0" y="1140"/>
                </a:cubicBezTo>
                <a:close/>
              </a:path>
            </a:pathLst>
          </a:custGeom>
          <a:solidFill>
            <a:srgbClr val="0096D7"/>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5" name="Freeform 4"/>
          <xdr:cNvSpPr>
            <a:spLocks/>
          </xdr:cNvSpPr>
        </xdr:nvSpPr>
        <xdr:spPr bwMode="auto">
          <a:xfrm>
            <a:off x="2747405" y="1843366"/>
            <a:ext cx="349250" cy="400050"/>
          </a:xfrm>
          <a:custGeom>
            <a:avLst/>
            <a:gdLst>
              <a:gd name="T0" fmla="*/ 2147483647 w 634"/>
              <a:gd name="T1" fmla="*/ 2147483647 h 726"/>
              <a:gd name="T2" fmla="*/ 2147483647 w 634"/>
              <a:gd name="T3" fmla="*/ 2147483647 h 726"/>
              <a:gd name="T4" fmla="*/ 2147483647 w 634"/>
              <a:gd name="T5" fmla="*/ 2147483647 h 726"/>
              <a:gd name="T6" fmla="*/ 2147483647 w 634"/>
              <a:gd name="T7" fmla="*/ 2147483647 h 726"/>
              <a:gd name="T8" fmla="*/ 0 w 634"/>
              <a:gd name="T9" fmla="*/ 2147483647 h 726"/>
              <a:gd name="T10" fmla="*/ 2147483647 w 634"/>
              <a:gd name="T11" fmla="*/ 2147483647 h 726"/>
              <a:gd name="T12" fmla="*/ 2147483647 w 634"/>
              <a:gd name="T13" fmla="*/ 0 h 726"/>
              <a:gd name="T14" fmla="*/ 2147483647 w 634"/>
              <a:gd name="T15" fmla="*/ 2147483647 h 726"/>
              <a:gd name="T16" fmla="*/ 2147483647 w 634"/>
              <a:gd name="T17" fmla="*/ 2147483647 h 726"/>
              <a:gd name="T18" fmla="*/ 2147483647 w 634"/>
              <a:gd name="T19" fmla="*/ 2147483647 h 726"/>
              <a:gd name="T20" fmla="*/ 2147483647 w 634"/>
              <a:gd name="T21" fmla="*/ 2147483647 h 726"/>
              <a:gd name="T22" fmla="*/ 2147483647 w 634"/>
              <a:gd name="T23" fmla="*/ 2147483647 h 726"/>
              <a:gd name="T24" fmla="*/ 2147483647 w 634"/>
              <a:gd name="T25" fmla="*/ 2147483647 h 726"/>
              <a:gd name="T26" fmla="*/ 2147483647 w 634"/>
              <a:gd name="T27" fmla="*/ 2147483647 h 726"/>
              <a:gd name="T28" fmla="*/ 2147483647 w 634"/>
              <a:gd name="T29" fmla="*/ 2147483647 h 726"/>
              <a:gd name="T30" fmla="*/ 2147483647 w 634"/>
              <a:gd name="T31" fmla="*/ 2147483647 h 726"/>
              <a:gd name="T32" fmla="*/ 2147483647 w 634"/>
              <a:gd name="T33" fmla="*/ 2147483647 h 726"/>
              <a:gd name="T34" fmla="*/ 2147483647 w 634"/>
              <a:gd name="T35" fmla="*/ 2147483647 h 726"/>
              <a:gd name="T36" fmla="*/ 2147483647 w 634"/>
              <a:gd name="T37" fmla="*/ 2147483647 h 726"/>
              <a:gd name="T38" fmla="*/ 2147483647 w 634"/>
              <a:gd name="T39" fmla="*/ 2147483647 h 72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34"/>
              <a:gd name="T61" fmla="*/ 0 h 726"/>
              <a:gd name="T62" fmla="*/ 634 w 634"/>
              <a:gd name="T63" fmla="*/ 726 h 72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34" h="726">
                <a:moveTo>
                  <a:pt x="634" y="465"/>
                </a:moveTo>
                <a:cubicBezTo>
                  <a:pt x="632" y="545"/>
                  <a:pt x="616" y="603"/>
                  <a:pt x="586" y="638"/>
                </a:cubicBezTo>
                <a:cubicBezTo>
                  <a:pt x="538" y="697"/>
                  <a:pt x="450" y="726"/>
                  <a:pt x="323" y="726"/>
                </a:cubicBezTo>
                <a:cubicBezTo>
                  <a:pt x="192" y="726"/>
                  <a:pt x="104" y="696"/>
                  <a:pt x="57" y="636"/>
                </a:cubicBezTo>
                <a:cubicBezTo>
                  <a:pt x="19" y="588"/>
                  <a:pt x="0" y="507"/>
                  <a:pt x="0" y="393"/>
                </a:cubicBezTo>
                <a:cubicBezTo>
                  <a:pt x="0" y="264"/>
                  <a:pt x="17" y="171"/>
                  <a:pt x="52" y="115"/>
                </a:cubicBezTo>
                <a:cubicBezTo>
                  <a:pt x="100" y="38"/>
                  <a:pt x="192" y="0"/>
                  <a:pt x="328" y="0"/>
                </a:cubicBezTo>
                <a:cubicBezTo>
                  <a:pt x="383" y="0"/>
                  <a:pt x="429" y="4"/>
                  <a:pt x="468" y="13"/>
                </a:cubicBezTo>
                <a:cubicBezTo>
                  <a:pt x="506" y="23"/>
                  <a:pt x="538" y="37"/>
                  <a:pt x="562" y="57"/>
                </a:cubicBezTo>
                <a:cubicBezTo>
                  <a:pt x="586" y="77"/>
                  <a:pt x="603" y="102"/>
                  <a:pt x="613" y="135"/>
                </a:cubicBezTo>
                <a:cubicBezTo>
                  <a:pt x="624" y="167"/>
                  <a:pt x="629" y="206"/>
                  <a:pt x="629" y="252"/>
                </a:cubicBezTo>
                <a:cubicBezTo>
                  <a:pt x="432" y="252"/>
                  <a:pt x="432" y="252"/>
                  <a:pt x="432" y="252"/>
                </a:cubicBezTo>
                <a:cubicBezTo>
                  <a:pt x="432" y="208"/>
                  <a:pt x="427" y="177"/>
                  <a:pt x="418" y="158"/>
                </a:cubicBezTo>
                <a:cubicBezTo>
                  <a:pt x="404" y="127"/>
                  <a:pt x="374" y="111"/>
                  <a:pt x="328" y="111"/>
                </a:cubicBezTo>
                <a:cubicBezTo>
                  <a:pt x="269" y="111"/>
                  <a:pt x="232" y="139"/>
                  <a:pt x="217" y="194"/>
                </a:cubicBezTo>
                <a:cubicBezTo>
                  <a:pt x="211" y="219"/>
                  <a:pt x="207" y="273"/>
                  <a:pt x="207" y="358"/>
                </a:cubicBezTo>
                <a:cubicBezTo>
                  <a:pt x="207" y="449"/>
                  <a:pt x="211" y="508"/>
                  <a:pt x="217" y="532"/>
                </a:cubicBezTo>
                <a:cubicBezTo>
                  <a:pt x="232" y="587"/>
                  <a:pt x="267" y="615"/>
                  <a:pt x="323" y="615"/>
                </a:cubicBezTo>
                <a:cubicBezTo>
                  <a:pt x="398" y="615"/>
                  <a:pt x="436" y="565"/>
                  <a:pt x="437" y="465"/>
                </a:cubicBezTo>
                <a:lnTo>
                  <a:pt x="634" y="465"/>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6" name="Freeform 5"/>
          <xdr:cNvSpPr>
            <a:spLocks/>
          </xdr:cNvSpPr>
        </xdr:nvSpPr>
        <xdr:spPr bwMode="auto">
          <a:xfrm>
            <a:off x="3137930" y="1843366"/>
            <a:ext cx="331787" cy="398462"/>
          </a:xfrm>
          <a:custGeom>
            <a:avLst/>
            <a:gdLst>
              <a:gd name="T0" fmla="*/ 2147483647 w 600"/>
              <a:gd name="T1" fmla="*/ 2147483647 h 722"/>
              <a:gd name="T2" fmla="*/ 2147483647 w 600"/>
              <a:gd name="T3" fmla="*/ 2147483647 h 722"/>
              <a:gd name="T4" fmla="*/ 0 w 600"/>
              <a:gd name="T5" fmla="*/ 2147483647 h 722"/>
              <a:gd name="T6" fmla="*/ 0 w 600"/>
              <a:gd name="T7" fmla="*/ 2147483647 h 722"/>
              <a:gd name="T8" fmla="*/ 2147483647 w 600"/>
              <a:gd name="T9" fmla="*/ 2147483647 h 722"/>
              <a:gd name="T10" fmla="*/ 2147483647 w 600"/>
              <a:gd name="T11" fmla="*/ 2147483647 h 722"/>
              <a:gd name="T12" fmla="*/ 2147483647 w 600"/>
              <a:gd name="T13" fmla="*/ 2147483647 h 722"/>
              <a:gd name="T14" fmla="*/ 2147483647 w 600"/>
              <a:gd name="T15" fmla="*/ 2147483647 h 722"/>
              <a:gd name="T16" fmla="*/ 2147483647 w 600"/>
              <a:gd name="T17" fmla="*/ 2147483647 h 722"/>
              <a:gd name="T18" fmla="*/ 2147483647 w 600"/>
              <a:gd name="T19" fmla="*/ 2147483647 h 722"/>
              <a:gd name="T20" fmla="*/ 2147483647 w 600"/>
              <a:gd name="T21" fmla="*/ 2147483647 h 722"/>
              <a:gd name="T22" fmla="*/ 2147483647 w 600"/>
              <a:gd name="T23" fmla="*/ 2147483647 h 722"/>
              <a:gd name="T24" fmla="*/ 2147483647 w 600"/>
              <a:gd name="T25" fmla="*/ 2147483647 h 722"/>
              <a:gd name="T26" fmla="*/ 2147483647 w 600"/>
              <a:gd name="T27" fmla="*/ 2147483647 h 722"/>
              <a:gd name="T28" fmla="*/ 2147483647 w 600"/>
              <a:gd name="T29" fmla="*/ 2147483647 h 722"/>
              <a:gd name="T30" fmla="*/ 2147483647 w 600"/>
              <a:gd name="T31" fmla="*/ 0 h 722"/>
              <a:gd name="T32" fmla="*/ 2147483647 w 600"/>
              <a:gd name="T33" fmla="*/ 2147483647 h 722"/>
              <a:gd name="T34" fmla="*/ 2147483647 w 600"/>
              <a:gd name="T35" fmla="*/ 2147483647 h 722"/>
              <a:gd name="T36" fmla="*/ 2147483647 w 600"/>
              <a:gd name="T37" fmla="*/ 2147483647 h 722"/>
              <a:gd name="T38" fmla="*/ 2147483647 w 600"/>
              <a:gd name="T39" fmla="*/ 2147483647 h 722"/>
              <a:gd name="T40" fmla="*/ 2147483647 w 600"/>
              <a:gd name="T41" fmla="*/ 2147483647 h 722"/>
              <a:gd name="T42" fmla="*/ 2147483647 w 600"/>
              <a:gd name="T43" fmla="*/ 2147483647 h 722"/>
              <a:gd name="T44" fmla="*/ 2147483647 w 600"/>
              <a:gd name="T45" fmla="*/ 2147483647 h 722"/>
              <a:gd name="T46" fmla="*/ 2147483647 w 600"/>
              <a:gd name="T47" fmla="*/ 2147483647 h 722"/>
              <a:gd name="T48" fmla="*/ 2147483647 w 600"/>
              <a:gd name="T49" fmla="*/ 2147483647 h 722"/>
              <a:gd name="T50" fmla="*/ 2147483647 w 600"/>
              <a:gd name="T51" fmla="*/ 2147483647 h 722"/>
              <a:gd name="T52" fmla="*/ 2147483647 w 600"/>
              <a:gd name="T53" fmla="*/ 2147483647 h 722"/>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600"/>
              <a:gd name="T82" fmla="*/ 0 h 722"/>
              <a:gd name="T83" fmla="*/ 600 w 600"/>
              <a:gd name="T84" fmla="*/ 722 h 722"/>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600" h="722">
                <a:moveTo>
                  <a:pt x="600" y="509"/>
                </a:moveTo>
                <a:cubicBezTo>
                  <a:pt x="600" y="651"/>
                  <a:pt x="497" y="722"/>
                  <a:pt x="290" y="722"/>
                </a:cubicBezTo>
                <a:cubicBezTo>
                  <a:pt x="100" y="722"/>
                  <a:pt x="4" y="657"/>
                  <a:pt x="0" y="526"/>
                </a:cubicBezTo>
                <a:cubicBezTo>
                  <a:pt x="0" y="488"/>
                  <a:pt x="0" y="488"/>
                  <a:pt x="0" y="488"/>
                </a:cubicBezTo>
                <a:cubicBezTo>
                  <a:pt x="208" y="488"/>
                  <a:pt x="208" y="488"/>
                  <a:pt x="208" y="488"/>
                </a:cubicBezTo>
                <a:cubicBezTo>
                  <a:pt x="208" y="510"/>
                  <a:pt x="208" y="510"/>
                  <a:pt x="208" y="510"/>
                </a:cubicBezTo>
                <a:cubicBezTo>
                  <a:pt x="209" y="579"/>
                  <a:pt x="240" y="614"/>
                  <a:pt x="301" y="614"/>
                </a:cubicBezTo>
                <a:cubicBezTo>
                  <a:pt x="363" y="614"/>
                  <a:pt x="394" y="587"/>
                  <a:pt x="394" y="532"/>
                </a:cubicBezTo>
                <a:cubicBezTo>
                  <a:pt x="394" y="502"/>
                  <a:pt x="381" y="478"/>
                  <a:pt x="356" y="459"/>
                </a:cubicBezTo>
                <a:cubicBezTo>
                  <a:pt x="348" y="455"/>
                  <a:pt x="333" y="448"/>
                  <a:pt x="312" y="437"/>
                </a:cubicBezTo>
                <a:cubicBezTo>
                  <a:pt x="290" y="427"/>
                  <a:pt x="262" y="414"/>
                  <a:pt x="227" y="399"/>
                </a:cubicBezTo>
                <a:cubicBezTo>
                  <a:pt x="184" y="380"/>
                  <a:pt x="149" y="364"/>
                  <a:pt x="121" y="351"/>
                </a:cubicBezTo>
                <a:cubicBezTo>
                  <a:pt x="93" y="337"/>
                  <a:pt x="74" y="325"/>
                  <a:pt x="61" y="315"/>
                </a:cubicBezTo>
                <a:cubicBezTo>
                  <a:pt x="26" y="287"/>
                  <a:pt x="9" y="248"/>
                  <a:pt x="9" y="197"/>
                </a:cubicBezTo>
                <a:cubicBezTo>
                  <a:pt x="9" y="130"/>
                  <a:pt x="38" y="80"/>
                  <a:pt x="98" y="45"/>
                </a:cubicBezTo>
                <a:cubicBezTo>
                  <a:pt x="149" y="15"/>
                  <a:pt x="219" y="0"/>
                  <a:pt x="307" y="0"/>
                </a:cubicBezTo>
                <a:cubicBezTo>
                  <a:pt x="407" y="0"/>
                  <a:pt x="480" y="17"/>
                  <a:pt x="525" y="51"/>
                </a:cubicBezTo>
                <a:cubicBezTo>
                  <a:pt x="569" y="85"/>
                  <a:pt x="592" y="139"/>
                  <a:pt x="592" y="214"/>
                </a:cubicBezTo>
                <a:cubicBezTo>
                  <a:pt x="387" y="214"/>
                  <a:pt x="387" y="214"/>
                  <a:pt x="387" y="214"/>
                </a:cubicBezTo>
                <a:cubicBezTo>
                  <a:pt x="387" y="179"/>
                  <a:pt x="387" y="179"/>
                  <a:pt x="387" y="179"/>
                </a:cubicBezTo>
                <a:cubicBezTo>
                  <a:pt x="383" y="125"/>
                  <a:pt x="354" y="99"/>
                  <a:pt x="299" y="99"/>
                </a:cubicBezTo>
                <a:cubicBezTo>
                  <a:pt x="244" y="99"/>
                  <a:pt x="217" y="123"/>
                  <a:pt x="217" y="172"/>
                </a:cubicBezTo>
                <a:cubicBezTo>
                  <a:pt x="217" y="200"/>
                  <a:pt x="231" y="223"/>
                  <a:pt x="261" y="241"/>
                </a:cubicBezTo>
                <a:cubicBezTo>
                  <a:pt x="267" y="244"/>
                  <a:pt x="280" y="251"/>
                  <a:pt x="302" y="260"/>
                </a:cubicBezTo>
                <a:cubicBezTo>
                  <a:pt x="323" y="270"/>
                  <a:pt x="354" y="284"/>
                  <a:pt x="392" y="301"/>
                </a:cubicBezTo>
                <a:cubicBezTo>
                  <a:pt x="469" y="333"/>
                  <a:pt x="520" y="359"/>
                  <a:pt x="545" y="380"/>
                </a:cubicBezTo>
                <a:cubicBezTo>
                  <a:pt x="582" y="412"/>
                  <a:pt x="600" y="455"/>
                  <a:pt x="600" y="509"/>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7" name="Freeform 6"/>
          <xdr:cNvSpPr>
            <a:spLocks/>
          </xdr:cNvSpPr>
        </xdr:nvSpPr>
        <xdr:spPr bwMode="auto">
          <a:xfrm>
            <a:off x="3515755" y="1843366"/>
            <a:ext cx="561975" cy="390525"/>
          </a:xfrm>
          <a:custGeom>
            <a:avLst/>
            <a:gdLst>
              <a:gd name="T0" fmla="*/ 2147483647 w 1022"/>
              <a:gd name="T1" fmla="*/ 2147483647 h 710"/>
              <a:gd name="T2" fmla="*/ 2147483647 w 1022"/>
              <a:gd name="T3" fmla="*/ 2147483647 h 710"/>
              <a:gd name="T4" fmla="*/ 2147483647 w 1022"/>
              <a:gd name="T5" fmla="*/ 2147483647 h 710"/>
              <a:gd name="T6" fmla="*/ 2147483647 w 1022"/>
              <a:gd name="T7" fmla="*/ 2147483647 h 710"/>
              <a:gd name="T8" fmla="*/ 2147483647 w 1022"/>
              <a:gd name="T9" fmla="*/ 2147483647 h 710"/>
              <a:gd name="T10" fmla="*/ 2147483647 w 1022"/>
              <a:gd name="T11" fmla="*/ 2147483647 h 710"/>
              <a:gd name="T12" fmla="*/ 2147483647 w 1022"/>
              <a:gd name="T13" fmla="*/ 2147483647 h 710"/>
              <a:gd name="T14" fmla="*/ 2147483647 w 1022"/>
              <a:gd name="T15" fmla="*/ 2147483647 h 710"/>
              <a:gd name="T16" fmla="*/ 2147483647 w 1022"/>
              <a:gd name="T17" fmla="*/ 2147483647 h 710"/>
              <a:gd name="T18" fmla="*/ 2147483647 w 1022"/>
              <a:gd name="T19" fmla="*/ 2147483647 h 710"/>
              <a:gd name="T20" fmla="*/ 2147483647 w 1022"/>
              <a:gd name="T21" fmla="*/ 2147483647 h 710"/>
              <a:gd name="T22" fmla="*/ 2147483647 w 1022"/>
              <a:gd name="T23" fmla="*/ 2147483647 h 710"/>
              <a:gd name="T24" fmla="*/ 2147483647 w 1022"/>
              <a:gd name="T25" fmla="*/ 2147483647 h 710"/>
              <a:gd name="T26" fmla="*/ 0 w 1022"/>
              <a:gd name="T27" fmla="*/ 2147483647 h 710"/>
              <a:gd name="T28" fmla="*/ 2147483647 w 1022"/>
              <a:gd name="T29" fmla="*/ 2147483647 h 710"/>
              <a:gd name="T30" fmla="*/ 2147483647 w 1022"/>
              <a:gd name="T31" fmla="*/ 2147483647 h 710"/>
              <a:gd name="T32" fmla="*/ 2147483647 w 1022"/>
              <a:gd name="T33" fmla="*/ 0 h 710"/>
              <a:gd name="T34" fmla="*/ 2147483647 w 1022"/>
              <a:gd name="T35" fmla="*/ 2147483647 h 710"/>
              <a:gd name="T36" fmla="*/ 2147483647 w 1022"/>
              <a:gd name="T37" fmla="*/ 0 h 710"/>
              <a:gd name="T38" fmla="*/ 2147483647 w 1022"/>
              <a:gd name="T39" fmla="*/ 2147483647 h 710"/>
              <a:gd name="T40" fmla="*/ 2147483647 w 1022"/>
              <a:gd name="T41" fmla="*/ 2147483647 h 710"/>
              <a:gd name="T42" fmla="*/ 2147483647 w 1022"/>
              <a:gd name="T43" fmla="*/ 2147483647 h 710"/>
              <a:gd name="T44" fmla="*/ 2147483647 w 1022"/>
              <a:gd name="T45" fmla="*/ 2147483647 h 710"/>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022"/>
              <a:gd name="T70" fmla="*/ 0 h 710"/>
              <a:gd name="T71" fmla="*/ 1022 w 1022"/>
              <a:gd name="T72" fmla="*/ 710 h 710"/>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022" h="710">
                <a:moveTo>
                  <a:pt x="815" y="710"/>
                </a:moveTo>
                <a:cubicBezTo>
                  <a:pt x="815" y="233"/>
                  <a:pt x="815" y="233"/>
                  <a:pt x="815" y="233"/>
                </a:cubicBezTo>
                <a:cubicBezTo>
                  <a:pt x="815" y="152"/>
                  <a:pt x="785" y="111"/>
                  <a:pt x="726" y="111"/>
                </a:cubicBezTo>
                <a:cubicBezTo>
                  <a:pt x="654" y="111"/>
                  <a:pt x="619" y="163"/>
                  <a:pt x="619" y="267"/>
                </a:cubicBezTo>
                <a:cubicBezTo>
                  <a:pt x="619" y="710"/>
                  <a:pt x="619" y="710"/>
                  <a:pt x="619" y="710"/>
                </a:cubicBezTo>
                <a:cubicBezTo>
                  <a:pt x="411" y="710"/>
                  <a:pt x="411" y="710"/>
                  <a:pt x="411" y="710"/>
                </a:cubicBezTo>
                <a:cubicBezTo>
                  <a:pt x="411" y="228"/>
                  <a:pt x="411" y="228"/>
                  <a:pt x="411" y="228"/>
                </a:cubicBezTo>
                <a:cubicBezTo>
                  <a:pt x="411" y="150"/>
                  <a:pt x="382" y="111"/>
                  <a:pt x="324" y="111"/>
                </a:cubicBezTo>
                <a:cubicBezTo>
                  <a:pt x="251" y="111"/>
                  <a:pt x="215" y="163"/>
                  <a:pt x="215" y="267"/>
                </a:cubicBezTo>
                <a:cubicBezTo>
                  <a:pt x="215" y="710"/>
                  <a:pt x="215" y="710"/>
                  <a:pt x="215" y="710"/>
                </a:cubicBezTo>
                <a:cubicBezTo>
                  <a:pt x="7" y="710"/>
                  <a:pt x="7" y="710"/>
                  <a:pt x="7" y="710"/>
                </a:cubicBezTo>
                <a:cubicBezTo>
                  <a:pt x="7" y="111"/>
                  <a:pt x="7" y="111"/>
                  <a:pt x="7" y="111"/>
                </a:cubicBezTo>
                <a:cubicBezTo>
                  <a:pt x="7" y="92"/>
                  <a:pt x="7" y="75"/>
                  <a:pt x="6" y="59"/>
                </a:cubicBezTo>
                <a:cubicBezTo>
                  <a:pt x="4" y="43"/>
                  <a:pt x="3" y="29"/>
                  <a:pt x="0" y="16"/>
                </a:cubicBezTo>
                <a:cubicBezTo>
                  <a:pt x="207" y="16"/>
                  <a:pt x="207" y="16"/>
                  <a:pt x="207" y="16"/>
                </a:cubicBezTo>
                <a:cubicBezTo>
                  <a:pt x="208" y="93"/>
                  <a:pt x="208" y="93"/>
                  <a:pt x="208" y="93"/>
                </a:cubicBezTo>
                <a:cubicBezTo>
                  <a:pt x="256" y="31"/>
                  <a:pt x="324" y="0"/>
                  <a:pt x="413" y="0"/>
                </a:cubicBezTo>
                <a:cubicBezTo>
                  <a:pt x="500" y="0"/>
                  <a:pt x="562" y="31"/>
                  <a:pt x="600" y="95"/>
                </a:cubicBezTo>
                <a:cubicBezTo>
                  <a:pt x="661" y="31"/>
                  <a:pt x="730" y="0"/>
                  <a:pt x="810" y="0"/>
                </a:cubicBezTo>
                <a:cubicBezTo>
                  <a:pt x="888" y="0"/>
                  <a:pt x="944" y="20"/>
                  <a:pt x="977" y="60"/>
                </a:cubicBezTo>
                <a:cubicBezTo>
                  <a:pt x="1007" y="96"/>
                  <a:pt x="1022" y="153"/>
                  <a:pt x="1022" y="231"/>
                </a:cubicBezTo>
                <a:cubicBezTo>
                  <a:pt x="1022" y="710"/>
                  <a:pt x="1022" y="710"/>
                  <a:pt x="1022" y="710"/>
                </a:cubicBezTo>
                <a:lnTo>
                  <a:pt x="815" y="710"/>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8" name="Freeform 7"/>
          <xdr:cNvSpPr>
            <a:spLocks noEditPoints="1"/>
          </xdr:cNvSpPr>
        </xdr:nvSpPr>
        <xdr:spPr bwMode="auto">
          <a:xfrm>
            <a:off x="4134880" y="1843366"/>
            <a:ext cx="358775" cy="539750"/>
          </a:xfrm>
          <a:custGeom>
            <a:avLst/>
            <a:gdLst>
              <a:gd name="T0" fmla="*/ 2147483647 w 652"/>
              <a:gd name="T1" fmla="*/ 2147483647 h 978"/>
              <a:gd name="T2" fmla="*/ 2147483647 w 652"/>
              <a:gd name="T3" fmla="*/ 2147483647 h 978"/>
              <a:gd name="T4" fmla="*/ 2147483647 w 652"/>
              <a:gd name="T5" fmla="*/ 2147483647 h 978"/>
              <a:gd name="T6" fmla="*/ 2147483647 w 652"/>
              <a:gd name="T7" fmla="*/ 2147483647 h 978"/>
              <a:gd name="T8" fmla="*/ 2147483647 w 652"/>
              <a:gd name="T9" fmla="*/ 2147483647 h 978"/>
              <a:gd name="T10" fmla="*/ 2147483647 w 652"/>
              <a:gd name="T11" fmla="*/ 2147483647 h 978"/>
              <a:gd name="T12" fmla="*/ 2147483647 w 652"/>
              <a:gd name="T13" fmla="*/ 2147483647 h 978"/>
              <a:gd name="T14" fmla="*/ 2147483647 w 652"/>
              <a:gd name="T15" fmla="*/ 2147483647 h 978"/>
              <a:gd name="T16" fmla="*/ 2147483647 w 652"/>
              <a:gd name="T17" fmla="*/ 2147483647 h 978"/>
              <a:gd name="T18" fmla="*/ 2147483647 w 652"/>
              <a:gd name="T19" fmla="*/ 2147483647 h 978"/>
              <a:gd name="T20" fmla="*/ 2147483647 w 652"/>
              <a:gd name="T21" fmla="*/ 2147483647 h 978"/>
              <a:gd name="T22" fmla="*/ 2147483647 w 652"/>
              <a:gd name="T23" fmla="*/ 2147483647 h 978"/>
              <a:gd name="T24" fmla="*/ 2147483647 w 652"/>
              <a:gd name="T25" fmla="*/ 2147483647 h 978"/>
              <a:gd name="T26" fmla="*/ 2147483647 w 652"/>
              <a:gd name="T27" fmla="*/ 2147483647 h 978"/>
              <a:gd name="T28" fmla="*/ 2147483647 w 652"/>
              <a:gd name="T29" fmla="*/ 2147483647 h 978"/>
              <a:gd name="T30" fmla="*/ 0 w 652"/>
              <a:gd name="T31" fmla="*/ 2147483647 h 978"/>
              <a:gd name="T32" fmla="*/ 2147483647 w 652"/>
              <a:gd name="T33" fmla="*/ 2147483647 h 978"/>
              <a:gd name="T34" fmla="*/ 2147483647 w 652"/>
              <a:gd name="T35" fmla="*/ 0 h 978"/>
              <a:gd name="T36" fmla="*/ 2147483647 w 652"/>
              <a:gd name="T37" fmla="*/ 2147483647 h 978"/>
              <a:gd name="T38" fmla="*/ 2147483647 w 652"/>
              <a:gd name="T39" fmla="*/ 2147483647 h 978"/>
              <a:gd name="T40" fmla="*/ 2147483647 w 652"/>
              <a:gd name="T41" fmla="*/ 2147483647 h 978"/>
              <a:gd name="T42" fmla="*/ 2147483647 w 652"/>
              <a:gd name="T43" fmla="*/ 2147483647 h 978"/>
              <a:gd name="T44" fmla="*/ 2147483647 w 652"/>
              <a:gd name="T45" fmla="*/ 2147483647 h 978"/>
              <a:gd name="T46" fmla="*/ 2147483647 w 652"/>
              <a:gd name="T47" fmla="*/ 2147483647 h 978"/>
              <a:gd name="T48" fmla="*/ 2147483647 w 652"/>
              <a:gd name="T49" fmla="*/ 2147483647 h 978"/>
              <a:gd name="T50" fmla="*/ 2147483647 w 652"/>
              <a:gd name="T51" fmla="*/ 2147483647 h 978"/>
              <a:gd name="T52" fmla="*/ 2147483647 w 652"/>
              <a:gd name="T53" fmla="*/ 2147483647 h 978"/>
              <a:gd name="T54" fmla="*/ 2147483647 w 652"/>
              <a:gd name="T55" fmla="*/ 2147483647 h 97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652"/>
              <a:gd name="T85" fmla="*/ 0 h 978"/>
              <a:gd name="T86" fmla="*/ 652 w 652"/>
              <a:gd name="T87" fmla="*/ 978 h 97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652" h="978">
                <a:moveTo>
                  <a:pt x="652" y="16"/>
                </a:moveTo>
                <a:cubicBezTo>
                  <a:pt x="651" y="32"/>
                  <a:pt x="650" y="49"/>
                  <a:pt x="649" y="68"/>
                </a:cubicBezTo>
                <a:cubicBezTo>
                  <a:pt x="649" y="87"/>
                  <a:pt x="648" y="107"/>
                  <a:pt x="648" y="128"/>
                </a:cubicBezTo>
                <a:cubicBezTo>
                  <a:pt x="648" y="740"/>
                  <a:pt x="648" y="740"/>
                  <a:pt x="648" y="740"/>
                </a:cubicBezTo>
                <a:cubicBezTo>
                  <a:pt x="648" y="831"/>
                  <a:pt x="618" y="895"/>
                  <a:pt x="558" y="932"/>
                </a:cubicBezTo>
                <a:cubicBezTo>
                  <a:pt x="507" y="963"/>
                  <a:pt x="424" y="978"/>
                  <a:pt x="310" y="978"/>
                </a:cubicBezTo>
                <a:cubicBezTo>
                  <a:pt x="212" y="978"/>
                  <a:pt x="140" y="964"/>
                  <a:pt x="94" y="934"/>
                </a:cubicBezTo>
                <a:cubicBezTo>
                  <a:pt x="44" y="903"/>
                  <a:pt x="19" y="849"/>
                  <a:pt x="19" y="772"/>
                </a:cubicBezTo>
                <a:cubicBezTo>
                  <a:pt x="240" y="772"/>
                  <a:pt x="240" y="772"/>
                  <a:pt x="240" y="772"/>
                </a:cubicBezTo>
                <a:cubicBezTo>
                  <a:pt x="240" y="843"/>
                  <a:pt x="269" y="879"/>
                  <a:pt x="329" y="879"/>
                </a:cubicBezTo>
                <a:cubicBezTo>
                  <a:pt x="369" y="879"/>
                  <a:pt x="397" y="867"/>
                  <a:pt x="414" y="842"/>
                </a:cubicBezTo>
                <a:cubicBezTo>
                  <a:pt x="428" y="821"/>
                  <a:pt x="436" y="784"/>
                  <a:pt x="436" y="732"/>
                </a:cubicBezTo>
                <a:cubicBezTo>
                  <a:pt x="436" y="623"/>
                  <a:pt x="436" y="623"/>
                  <a:pt x="436" y="623"/>
                </a:cubicBezTo>
                <a:cubicBezTo>
                  <a:pt x="387" y="675"/>
                  <a:pt x="323" y="700"/>
                  <a:pt x="245" y="700"/>
                </a:cubicBezTo>
                <a:cubicBezTo>
                  <a:pt x="147" y="700"/>
                  <a:pt x="78" y="665"/>
                  <a:pt x="39" y="594"/>
                </a:cubicBezTo>
                <a:cubicBezTo>
                  <a:pt x="13" y="545"/>
                  <a:pt x="0" y="473"/>
                  <a:pt x="0" y="380"/>
                </a:cubicBezTo>
                <a:cubicBezTo>
                  <a:pt x="0" y="257"/>
                  <a:pt x="11" y="170"/>
                  <a:pt x="32" y="121"/>
                </a:cubicBezTo>
                <a:cubicBezTo>
                  <a:pt x="67" y="40"/>
                  <a:pt x="136" y="0"/>
                  <a:pt x="240" y="0"/>
                </a:cubicBezTo>
                <a:cubicBezTo>
                  <a:pt x="334" y="0"/>
                  <a:pt x="401" y="32"/>
                  <a:pt x="442" y="96"/>
                </a:cubicBezTo>
                <a:cubicBezTo>
                  <a:pt x="442" y="16"/>
                  <a:pt x="442" y="16"/>
                  <a:pt x="442" y="16"/>
                </a:cubicBezTo>
                <a:lnTo>
                  <a:pt x="652" y="16"/>
                </a:lnTo>
                <a:close/>
                <a:moveTo>
                  <a:pt x="439" y="373"/>
                </a:moveTo>
                <a:cubicBezTo>
                  <a:pt x="439" y="291"/>
                  <a:pt x="433" y="232"/>
                  <a:pt x="422" y="197"/>
                </a:cubicBezTo>
                <a:cubicBezTo>
                  <a:pt x="403" y="140"/>
                  <a:pt x="370" y="111"/>
                  <a:pt x="323" y="111"/>
                </a:cubicBezTo>
                <a:cubicBezTo>
                  <a:pt x="274" y="111"/>
                  <a:pt x="243" y="135"/>
                  <a:pt x="228" y="183"/>
                </a:cubicBezTo>
                <a:cubicBezTo>
                  <a:pt x="217" y="216"/>
                  <a:pt x="211" y="281"/>
                  <a:pt x="211" y="378"/>
                </a:cubicBezTo>
                <a:cubicBezTo>
                  <a:pt x="211" y="524"/>
                  <a:pt x="249" y="597"/>
                  <a:pt x="323" y="597"/>
                </a:cubicBezTo>
                <a:cubicBezTo>
                  <a:pt x="401" y="597"/>
                  <a:pt x="439" y="522"/>
                  <a:pt x="439" y="373"/>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9" name="Freeform 8"/>
          <xdr:cNvSpPr>
            <a:spLocks noEditPoints="1"/>
          </xdr:cNvSpPr>
        </xdr:nvSpPr>
        <xdr:spPr bwMode="auto">
          <a:xfrm>
            <a:off x="2822017" y="2487891"/>
            <a:ext cx="92075" cy="114300"/>
          </a:xfrm>
          <a:custGeom>
            <a:avLst/>
            <a:gdLst>
              <a:gd name="T0" fmla="*/ 2147483647 w 392"/>
              <a:gd name="T1" fmla="*/ 0 h 486"/>
              <a:gd name="T2" fmla="*/ 2147483647 w 392"/>
              <a:gd name="T3" fmla="*/ 0 h 486"/>
              <a:gd name="T4" fmla="*/ 2147483647 w 392"/>
              <a:gd name="T5" fmla="*/ 2147483647 h 486"/>
              <a:gd name="T6" fmla="*/ 2147483647 w 392"/>
              <a:gd name="T7" fmla="*/ 2147483647 h 486"/>
              <a:gd name="T8" fmla="*/ 2147483647 w 392"/>
              <a:gd name="T9" fmla="*/ 2147483647 h 486"/>
              <a:gd name="T10" fmla="*/ 2147483647 w 392"/>
              <a:gd name="T11" fmla="*/ 2147483647 h 486"/>
              <a:gd name="T12" fmla="*/ 2147483647 w 392"/>
              <a:gd name="T13" fmla="*/ 2147483647 h 486"/>
              <a:gd name="T14" fmla="*/ 0 w 392"/>
              <a:gd name="T15" fmla="*/ 2147483647 h 486"/>
              <a:gd name="T16" fmla="*/ 2147483647 w 392"/>
              <a:gd name="T17" fmla="*/ 0 h 486"/>
              <a:gd name="T18" fmla="*/ 2147483647 w 392"/>
              <a:gd name="T19" fmla="*/ 2147483647 h 486"/>
              <a:gd name="T20" fmla="*/ 2147483647 w 392"/>
              <a:gd name="T21" fmla="*/ 2147483647 h 486"/>
              <a:gd name="T22" fmla="*/ 2147483647 w 392"/>
              <a:gd name="T23" fmla="*/ 2147483647 h 486"/>
              <a:gd name="T24" fmla="*/ 2147483647 w 392"/>
              <a:gd name="T25" fmla="*/ 2147483647 h 486"/>
              <a:gd name="T26" fmla="*/ 2147483647 w 392"/>
              <a:gd name="T27" fmla="*/ 2147483647 h 48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92"/>
              <a:gd name="T43" fmla="*/ 0 h 486"/>
              <a:gd name="T44" fmla="*/ 392 w 392"/>
              <a:gd name="T45" fmla="*/ 486 h 48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92" h="486">
                <a:moveTo>
                  <a:pt x="154" y="0"/>
                </a:moveTo>
                <a:lnTo>
                  <a:pt x="232" y="0"/>
                </a:lnTo>
                <a:lnTo>
                  <a:pt x="392" y="486"/>
                </a:lnTo>
                <a:lnTo>
                  <a:pt x="321" y="486"/>
                </a:lnTo>
                <a:lnTo>
                  <a:pt x="286" y="371"/>
                </a:lnTo>
                <a:lnTo>
                  <a:pt x="99" y="371"/>
                </a:lnTo>
                <a:lnTo>
                  <a:pt x="62" y="486"/>
                </a:lnTo>
                <a:lnTo>
                  <a:pt x="0" y="486"/>
                </a:lnTo>
                <a:lnTo>
                  <a:pt x="154" y="0"/>
                </a:lnTo>
                <a:close/>
                <a:moveTo>
                  <a:pt x="192" y="56"/>
                </a:moveTo>
                <a:lnTo>
                  <a:pt x="192" y="56"/>
                </a:lnTo>
                <a:lnTo>
                  <a:pt x="114" y="316"/>
                </a:lnTo>
                <a:lnTo>
                  <a:pt x="269" y="316"/>
                </a:lnTo>
                <a:lnTo>
                  <a:pt x="192" y="56"/>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0" name="Freeform 9"/>
          <xdr:cNvSpPr>
            <a:spLocks/>
          </xdr:cNvSpPr>
        </xdr:nvSpPr>
        <xdr:spPr bwMode="auto">
          <a:xfrm>
            <a:off x="2952192" y="2487891"/>
            <a:ext cx="74613" cy="114300"/>
          </a:xfrm>
          <a:custGeom>
            <a:avLst/>
            <a:gdLst>
              <a:gd name="T0" fmla="*/ 2147483647 w 319"/>
              <a:gd name="T1" fmla="*/ 0 h 486"/>
              <a:gd name="T2" fmla="*/ 2147483647 w 319"/>
              <a:gd name="T3" fmla="*/ 2147483647 h 486"/>
              <a:gd name="T4" fmla="*/ 2147483647 w 319"/>
              <a:gd name="T5" fmla="*/ 2147483647 h 486"/>
              <a:gd name="T6" fmla="*/ 2147483647 w 319"/>
              <a:gd name="T7" fmla="*/ 2147483647 h 486"/>
              <a:gd name="T8" fmla="*/ 2147483647 w 319"/>
              <a:gd name="T9" fmla="*/ 2147483647 h 486"/>
              <a:gd name="T10" fmla="*/ 2147483647 w 319"/>
              <a:gd name="T11" fmla="*/ 2147483647 h 486"/>
              <a:gd name="T12" fmla="*/ 0 w 319"/>
              <a:gd name="T13" fmla="*/ 2147483647 h 486"/>
              <a:gd name="T14" fmla="*/ 0 w 319"/>
              <a:gd name="T15" fmla="*/ 0 h 486"/>
              <a:gd name="T16" fmla="*/ 2147483647 w 319"/>
              <a:gd name="T17" fmla="*/ 0 h 4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19"/>
              <a:gd name="T28" fmla="*/ 0 h 486"/>
              <a:gd name="T29" fmla="*/ 319 w 319"/>
              <a:gd name="T30" fmla="*/ 486 h 48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19" h="486">
                <a:moveTo>
                  <a:pt x="319" y="0"/>
                </a:moveTo>
                <a:lnTo>
                  <a:pt x="319" y="54"/>
                </a:lnTo>
                <a:lnTo>
                  <a:pt x="191" y="54"/>
                </a:lnTo>
                <a:lnTo>
                  <a:pt x="191" y="486"/>
                </a:lnTo>
                <a:lnTo>
                  <a:pt x="130" y="486"/>
                </a:lnTo>
                <a:lnTo>
                  <a:pt x="130" y="54"/>
                </a:lnTo>
                <a:lnTo>
                  <a:pt x="0" y="54"/>
                </a:lnTo>
                <a:lnTo>
                  <a:pt x="0" y="0"/>
                </a:lnTo>
                <a:lnTo>
                  <a:pt x="319" y="0"/>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1" name="Freeform 10"/>
          <xdr:cNvSpPr>
            <a:spLocks/>
          </xdr:cNvSpPr>
        </xdr:nvSpPr>
        <xdr:spPr bwMode="auto">
          <a:xfrm>
            <a:off x="3042680" y="2487891"/>
            <a:ext cx="104775" cy="114300"/>
          </a:xfrm>
          <a:custGeom>
            <a:avLst/>
            <a:gdLst>
              <a:gd name="T0" fmla="*/ 2147483647 w 451"/>
              <a:gd name="T1" fmla="*/ 2147483647 h 486"/>
              <a:gd name="T2" fmla="*/ 0 w 451"/>
              <a:gd name="T3" fmla="*/ 2147483647 h 486"/>
              <a:gd name="T4" fmla="*/ 0 w 451"/>
              <a:gd name="T5" fmla="*/ 0 h 486"/>
              <a:gd name="T6" fmla="*/ 2147483647 w 451"/>
              <a:gd name="T7" fmla="*/ 0 h 486"/>
              <a:gd name="T8" fmla="*/ 2147483647 w 451"/>
              <a:gd name="T9" fmla="*/ 2147483647 h 486"/>
              <a:gd name="T10" fmla="*/ 2147483647 w 451"/>
              <a:gd name="T11" fmla="*/ 2147483647 h 486"/>
              <a:gd name="T12" fmla="*/ 2147483647 w 451"/>
              <a:gd name="T13" fmla="*/ 0 h 486"/>
              <a:gd name="T14" fmla="*/ 2147483647 w 451"/>
              <a:gd name="T15" fmla="*/ 0 h 486"/>
              <a:gd name="T16" fmla="*/ 2147483647 w 451"/>
              <a:gd name="T17" fmla="*/ 2147483647 h 486"/>
              <a:gd name="T18" fmla="*/ 2147483647 w 451"/>
              <a:gd name="T19" fmla="*/ 2147483647 h 486"/>
              <a:gd name="T20" fmla="*/ 2147483647 w 451"/>
              <a:gd name="T21" fmla="*/ 2147483647 h 486"/>
              <a:gd name="T22" fmla="*/ 2147483647 w 451"/>
              <a:gd name="T23" fmla="*/ 2147483647 h 486"/>
              <a:gd name="T24" fmla="*/ 2147483647 w 451"/>
              <a:gd name="T25" fmla="*/ 2147483647 h 486"/>
              <a:gd name="T26" fmla="*/ 2147483647 w 451"/>
              <a:gd name="T27" fmla="*/ 2147483647 h 486"/>
              <a:gd name="T28" fmla="*/ 2147483647 w 451"/>
              <a:gd name="T29" fmla="*/ 2147483647 h 486"/>
              <a:gd name="T30" fmla="*/ 2147483647 w 451"/>
              <a:gd name="T31" fmla="*/ 2147483647 h 486"/>
              <a:gd name="T32" fmla="*/ 2147483647 w 451"/>
              <a:gd name="T33" fmla="*/ 2147483647 h 48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51"/>
              <a:gd name="T52" fmla="*/ 0 h 486"/>
              <a:gd name="T53" fmla="*/ 451 w 451"/>
              <a:gd name="T54" fmla="*/ 486 h 48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51" h="486">
                <a:moveTo>
                  <a:pt x="57" y="486"/>
                </a:moveTo>
                <a:lnTo>
                  <a:pt x="0" y="486"/>
                </a:lnTo>
                <a:lnTo>
                  <a:pt x="0" y="0"/>
                </a:lnTo>
                <a:lnTo>
                  <a:pt x="99" y="0"/>
                </a:lnTo>
                <a:lnTo>
                  <a:pt x="222" y="408"/>
                </a:lnTo>
                <a:lnTo>
                  <a:pt x="224" y="408"/>
                </a:lnTo>
                <a:lnTo>
                  <a:pt x="347" y="0"/>
                </a:lnTo>
                <a:lnTo>
                  <a:pt x="451" y="0"/>
                </a:lnTo>
                <a:lnTo>
                  <a:pt x="451" y="486"/>
                </a:lnTo>
                <a:lnTo>
                  <a:pt x="387" y="486"/>
                </a:lnTo>
                <a:lnTo>
                  <a:pt x="387" y="54"/>
                </a:lnTo>
                <a:lnTo>
                  <a:pt x="250" y="486"/>
                </a:lnTo>
                <a:lnTo>
                  <a:pt x="191" y="486"/>
                </a:lnTo>
                <a:lnTo>
                  <a:pt x="59" y="54"/>
                </a:lnTo>
                <a:lnTo>
                  <a:pt x="57" y="54"/>
                </a:lnTo>
                <a:lnTo>
                  <a:pt x="57" y="486"/>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2" name="Freeform 11"/>
          <xdr:cNvSpPr>
            <a:spLocks/>
          </xdr:cNvSpPr>
        </xdr:nvSpPr>
        <xdr:spPr bwMode="auto">
          <a:xfrm>
            <a:off x="3174442" y="2487891"/>
            <a:ext cx="77788" cy="114300"/>
          </a:xfrm>
          <a:custGeom>
            <a:avLst/>
            <a:gdLst>
              <a:gd name="T0" fmla="*/ 2147483647 w 333"/>
              <a:gd name="T1" fmla="*/ 0 h 486"/>
              <a:gd name="T2" fmla="*/ 2147483647 w 333"/>
              <a:gd name="T3" fmla="*/ 2147483647 h 486"/>
              <a:gd name="T4" fmla="*/ 2147483647 w 333"/>
              <a:gd name="T5" fmla="*/ 2147483647 h 486"/>
              <a:gd name="T6" fmla="*/ 2147483647 w 333"/>
              <a:gd name="T7" fmla="*/ 2147483647 h 486"/>
              <a:gd name="T8" fmla="*/ 2147483647 w 333"/>
              <a:gd name="T9" fmla="*/ 2147483647 h 486"/>
              <a:gd name="T10" fmla="*/ 2147483647 w 333"/>
              <a:gd name="T11" fmla="*/ 2147483647 h 486"/>
              <a:gd name="T12" fmla="*/ 0 w 333"/>
              <a:gd name="T13" fmla="*/ 2147483647 h 486"/>
              <a:gd name="T14" fmla="*/ 0 w 333"/>
              <a:gd name="T15" fmla="*/ 0 h 486"/>
              <a:gd name="T16" fmla="*/ 2147483647 w 333"/>
              <a:gd name="T17" fmla="*/ 0 h 486"/>
              <a:gd name="T18" fmla="*/ 2147483647 w 333"/>
              <a:gd name="T19" fmla="*/ 2147483647 h 486"/>
              <a:gd name="T20" fmla="*/ 2147483647 w 333"/>
              <a:gd name="T21" fmla="*/ 2147483647 h 486"/>
              <a:gd name="T22" fmla="*/ 2147483647 w 333"/>
              <a:gd name="T23" fmla="*/ 0 h 486"/>
              <a:gd name="T24" fmla="*/ 2147483647 w 333"/>
              <a:gd name="T25" fmla="*/ 0 h 48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33"/>
              <a:gd name="T40" fmla="*/ 0 h 486"/>
              <a:gd name="T41" fmla="*/ 333 w 333"/>
              <a:gd name="T42" fmla="*/ 486 h 48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33" h="486">
                <a:moveTo>
                  <a:pt x="333" y="0"/>
                </a:moveTo>
                <a:lnTo>
                  <a:pt x="333" y="486"/>
                </a:lnTo>
                <a:lnTo>
                  <a:pt x="248" y="486"/>
                </a:lnTo>
                <a:lnTo>
                  <a:pt x="56" y="63"/>
                </a:lnTo>
                <a:lnTo>
                  <a:pt x="54" y="63"/>
                </a:lnTo>
                <a:lnTo>
                  <a:pt x="54" y="486"/>
                </a:lnTo>
                <a:lnTo>
                  <a:pt x="0" y="486"/>
                </a:lnTo>
                <a:lnTo>
                  <a:pt x="0" y="0"/>
                </a:lnTo>
                <a:lnTo>
                  <a:pt x="87" y="0"/>
                </a:lnTo>
                <a:lnTo>
                  <a:pt x="276" y="418"/>
                </a:lnTo>
                <a:lnTo>
                  <a:pt x="278" y="418"/>
                </a:lnTo>
                <a:lnTo>
                  <a:pt x="278" y="0"/>
                </a:lnTo>
                <a:lnTo>
                  <a:pt x="333" y="0"/>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3" name="Freeform 12"/>
          <xdr:cNvSpPr>
            <a:spLocks/>
          </xdr:cNvSpPr>
        </xdr:nvSpPr>
        <xdr:spPr bwMode="auto">
          <a:xfrm>
            <a:off x="3276042" y="2486303"/>
            <a:ext cx="73025" cy="119063"/>
          </a:xfrm>
          <a:custGeom>
            <a:avLst/>
            <a:gdLst>
              <a:gd name="T0" fmla="*/ 2147483647 w 131"/>
              <a:gd name="T1" fmla="*/ 2147483647 h 215"/>
              <a:gd name="T2" fmla="*/ 2147483647 w 131"/>
              <a:gd name="T3" fmla="*/ 2147483647 h 215"/>
              <a:gd name="T4" fmla="*/ 2147483647 w 131"/>
              <a:gd name="T5" fmla="*/ 2147483647 h 215"/>
              <a:gd name="T6" fmla="*/ 2147483647 w 131"/>
              <a:gd name="T7" fmla="*/ 2147483647 h 215"/>
              <a:gd name="T8" fmla="*/ 2147483647 w 131"/>
              <a:gd name="T9" fmla="*/ 2147483647 h 215"/>
              <a:gd name="T10" fmla="*/ 2147483647 w 131"/>
              <a:gd name="T11" fmla="*/ 2147483647 h 215"/>
              <a:gd name="T12" fmla="*/ 2147483647 w 131"/>
              <a:gd name="T13" fmla="*/ 2147483647 h 215"/>
              <a:gd name="T14" fmla="*/ 2147483647 w 131"/>
              <a:gd name="T15" fmla="*/ 2147483647 h 215"/>
              <a:gd name="T16" fmla="*/ 2147483647 w 131"/>
              <a:gd name="T17" fmla="*/ 2147483647 h 215"/>
              <a:gd name="T18" fmla="*/ 2147483647 w 131"/>
              <a:gd name="T19" fmla="*/ 2147483647 h 215"/>
              <a:gd name="T20" fmla="*/ 2147483647 w 131"/>
              <a:gd name="T21" fmla="*/ 2147483647 h 215"/>
              <a:gd name="T22" fmla="*/ 2147483647 w 131"/>
              <a:gd name="T23" fmla="*/ 2147483647 h 215"/>
              <a:gd name="T24" fmla="*/ 0 w 131"/>
              <a:gd name="T25" fmla="*/ 2147483647 h 215"/>
              <a:gd name="T26" fmla="*/ 0 w 131"/>
              <a:gd name="T27" fmla="*/ 2147483647 h 215"/>
              <a:gd name="T28" fmla="*/ 2147483647 w 131"/>
              <a:gd name="T29" fmla="*/ 0 h 215"/>
              <a:gd name="T30" fmla="*/ 2147483647 w 131"/>
              <a:gd name="T31" fmla="*/ 2147483647 h 215"/>
              <a:gd name="T32" fmla="*/ 2147483647 w 131"/>
              <a:gd name="T33" fmla="*/ 2147483647 h 2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1"/>
              <a:gd name="T52" fmla="*/ 0 h 215"/>
              <a:gd name="T53" fmla="*/ 131 w 131"/>
              <a:gd name="T54" fmla="*/ 215 h 215"/>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1" h="215">
                <a:moveTo>
                  <a:pt x="102" y="59"/>
                </a:moveTo>
                <a:cubicBezTo>
                  <a:pt x="102" y="35"/>
                  <a:pt x="92" y="22"/>
                  <a:pt x="65" y="22"/>
                </a:cubicBezTo>
                <a:cubicBezTo>
                  <a:pt x="57" y="22"/>
                  <a:pt x="27" y="23"/>
                  <a:pt x="27" y="66"/>
                </a:cubicBezTo>
                <a:cubicBezTo>
                  <a:pt x="27" y="136"/>
                  <a:pt x="27" y="136"/>
                  <a:pt x="27" y="136"/>
                </a:cubicBezTo>
                <a:cubicBezTo>
                  <a:pt x="27" y="181"/>
                  <a:pt x="40" y="193"/>
                  <a:pt x="65" y="193"/>
                </a:cubicBezTo>
                <a:cubicBezTo>
                  <a:pt x="84" y="193"/>
                  <a:pt x="97" y="187"/>
                  <a:pt x="102" y="183"/>
                </a:cubicBezTo>
                <a:cubicBezTo>
                  <a:pt x="102" y="122"/>
                  <a:pt x="102" y="122"/>
                  <a:pt x="102" y="122"/>
                </a:cubicBezTo>
                <a:cubicBezTo>
                  <a:pt x="64" y="122"/>
                  <a:pt x="64" y="122"/>
                  <a:pt x="64" y="122"/>
                </a:cubicBezTo>
                <a:cubicBezTo>
                  <a:pt x="64" y="99"/>
                  <a:pt x="64" y="99"/>
                  <a:pt x="64" y="99"/>
                </a:cubicBezTo>
                <a:cubicBezTo>
                  <a:pt x="128" y="99"/>
                  <a:pt x="128" y="99"/>
                  <a:pt x="128" y="99"/>
                </a:cubicBezTo>
                <a:cubicBezTo>
                  <a:pt x="128" y="199"/>
                  <a:pt x="128" y="199"/>
                  <a:pt x="128" y="199"/>
                </a:cubicBezTo>
                <a:cubicBezTo>
                  <a:pt x="112" y="208"/>
                  <a:pt x="92" y="215"/>
                  <a:pt x="65" y="215"/>
                </a:cubicBezTo>
                <a:cubicBezTo>
                  <a:pt x="22" y="215"/>
                  <a:pt x="0" y="192"/>
                  <a:pt x="0" y="135"/>
                </a:cubicBezTo>
                <a:cubicBezTo>
                  <a:pt x="0" y="67"/>
                  <a:pt x="0" y="67"/>
                  <a:pt x="0" y="67"/>
                </a:cubicBezTo>
                <a:cubicBezTo>
                  <a:pt x="0" y="26"/>
                  <a:pt x="22" y="0"/>
                  <a:pt x="65" y="0"/>
                </a:cubicBezTo>
                <a:cubicBezTo>
                  <a:pt x="110" y="0"/>
                  <a:pt x="131" y="16"/>
                  <a:pt x="129" y="59"/>
                </a:cubicBezTo>
                <a:lnTo>
                  <a:pt x="102" y="59"/>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4" name="Freeform 13"/>
          <xdr:cNvSpPr>
            <a:spLocks/>
          </xdr:cNvSpPr>
        </xdr:nvSpPr>
        <xdr:spPr bwMode="auto">
          <a:xfrm>
            <a:off x="3407805" y="2486303"/>
            <a:ext cx="73025" cy="119063"/>
          </a:xfrm>
          <a:custGeom>
            <a:avLst/>
            <a:gdLst>
              <a:gd name="T0" fmla="*/ 2147483647 w 131"/>
              <a:gd name="T1" fmla="*/ 2147483647 h 215"/>
              <a:gd name="T2" fmla="*/ 2147483647 w 131"/>
              <a:gd name="T3" fmla="*/ 2147483647 h 215"/>
              <a:gd name="T4" fmla="*/ 2147483647 w 131"/>
              <a:gd name="T5" fmla="*/ 2147483647 h 215"/>
              <a:gd name="T6" fmla="*/ 2147483647 w 131"/>
              <a:gd name="T7" fmla="*/ 2147483647 h 215"/>
              <a:gd name="T8" fmla="*/ 2147483647 w 131"/>
              <a:gd name="T9" fmla="*/ 2147483647 h 215"/>
              <a:gd name="T10" fmla="*/ 2147483647 w 131"/>
              <a:gd name="T11" fmla="*/ 2147483647 h 215"/>
              <a:gd name="T12" fmla="*/ 2147483647 w 131"/>
              <a:gd name="T13" fmla="*/ 2147483647 h 215"/>
              <a:gd name="T14" fmla="*/ 2147483647 w 131"/>
              <a:gd name="T15" fmla="*/ 2147483647 h 215"/>
              <a:gd name="T16" fmla="*/ 2147483647 w 131"/>
              <a:gd name="T17" fmla="*/ 2147483647 h 215"/>
              <a:gd name="T18" fmla="*/ 2147483647 w 131"/>
              <a:gd name="T19" fmla="*/ 2147483647 h 215"/>
              <a:gd name="T20" fmla="*/ 2147483647 w 131"/>
              <a:gd name="T21" fmla="*/ 2147483647 h 215"/>
              <a:gd name="T22" fmla="*/ 2147483647 w 131"/>
              <a:gd name="T23" fmla="*/ 2147483647 h 215"/>
              <a:gd name="T24" fmla="*/ 0 w 131"/>
              <a:gd name="T25" fmla="*/ 2147483647 h 215"/>
              <a:gd name="T26" fmla="*/ 0 w 131"/>
              <a:gd name="T27" fmla="*/ 2147483647 h 215"/>
              <a:gd name="T28" fmla="*/ 2147483647 w 131"/>
              <a:gd name="T29" fmla="*/ 0 h 215"/>
              <a:gd name="T30" fmla="*/ 2147483647 w 131"/>
              <a:gd name="T31" fmla="*/ 2147483647 h 215"/>
              <a:gd name="T32" fmla="*/ 2147483647 w 131"/>
              <a:gd name="T33" fmla="*/ 2147483647 h 21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31"/>
              <a:gd name="T52" fmla="*/ 0 h 215"/>
              <a:gd name="T53" fmla="*/ 131 w 131"/>
              <a:gd name="T54" fmla="*/ 215 h 215"/>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31" h="215">
                <a:moveTo>
                  <a:pt x="102" y="59"/>
                </a:moveTo>
                <a:cubicBezTo>
                  <a:pt x="102" y="35"/>
                  <a:pt x="92" y="22"/>
                  <a:pt x="65" y="22"/>
                </a:cubicBezTo>
                <a:cubicBezTo>
                  <a:pt x="57" y="22"/>
                  <a:pt x="27" y="23"/>
                  <a:pt x="27" y="66"/>
                </a:cubicBezTo>
                <a:cubicBezTo>
                  <a:pt x="27" y="136"/>
                  <a:pt x="27" y="136"/>
                  <a:pt x="27" y="136"/>
                </a:cubicBezTo>
                <a:cubicBezTo>
                  <a:pt x="27" y="181"/>
                  <a:pt x="40" y="193"/>
                  <a:pt x="65" y="193"/>
                </a:cubicBezTo>
                <a:cubicBezTo>
                  <a:pt x="84" y="193"/>
                  <a:pt x="97" y="187"/>
                  <a:pt x="102" y="183"/>
                </a:cubicBezTo>
                <a:cubicBezTo>
                  <a:pt x="102" y="122"/>
                  <a:pt x="102" y="122"/>
                  <a:pt x="102" y="122"/>
                </a:cubicBezTo>
                <a:cubicBezTo>
                  <a:pt x="64" y="122"/>
                  <a:pt x="64" y="122"/>
                  <a:pt x="64" y="122"/>
                </a:cubicBezTo>
                <a:cubicBezTo>
                  <a:pt x="64" y="99"/>
                  <a:pt x="64" y="99"/>
                  <a:pt x="64" y="99"/>
                </a:cubicBezTo>
                <a:cubicBezTo>
                  <a:pt x="128" y="99"/>
                  <a:pt x="128" y="99"/>
                  <a:pt x="128" y="99"/>
                </a:cubicBezTo>
                <a:cubicBezTo>
                  <a:pt x="128" y="199"/>
                  <a:pt x="128" y="199"/>
                  <a:pt x="128" y="199"/>
                </a:cubicBezTo>
                <a:cubicBezTo>
                  <a:pt x="112" y="208"/>
                  <a:pt x="92" y="215"/>
                  <a:pt x="65" y="215"/>
                </a:cubicBezTo>
                <a:cubicBezTo>
                  <a:pt x="22" y="215"/>
                  <a:pt x="0" y="192"/>
                  <a:pt x="0" y="135"/>
                </a:cubicBezTo>
                <a:cubicBezTo>
                  <a:pt x="0" y="67"/>
                  <a:pt x="0" y="67"/>
                  <a:pt x="0" y="67"/>
                </a:cubicBezTo>
                <a:cubicBezTo>
                  <a:pt x="0" y="26"/>
                  <a:pt x="22" y="0"/>
                  <a:pt x="65" y="0"/>
                </a:cubicBezTo>
                <a:cubicBezTo>
                  <a:pt x="110" y="0"/>
                  <a:pt x="131" y="16"/>
                  <a:pt x="129" y="59"/>
                </a:cubicBezTo>
                <a:lnTo>
                  <a:pt x="102" y="59"/>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5" name="Rectangle 14"/>
          <xdr:cNvSpPr>
            <a:spLocks noChangeArrowheads="1"/>
          </xdr:cNvSpPr>
        </xdr:nvSpPr>
        <xdr:spPr bwMode="auto">
          <a:xfrm>
            <a:off x="3504642" y="2487891"/>
            <a:ext cx="12700" cy="114300"/>
          </a:xfrm>
          <a:prstGeom prst="rect">
            <a:avLst/>
          </a:pr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pPr algn="ctr" eaLnBrk="0" hangingPunct="0"/>
            <a:endParaRPr lang="en-US"/>
          </a:p>
        </xdr:txBody>
      </xdr:sp>
      <xdr:sp macro="" textlink="">
        <xdr:nvSpPr>
          <xdr:cNvPr id="16" name="Freeform 15"/>
          <xdr:cNvSpPr>
            <a:spLocks noEditPoints="1"/>
          </xdr:cNvSpPr>
        </xdr:nvSpPr>
        <xdr:spPr bwMode="auto">
          <a:xfrm>
            <a:off x="3536392" y="2521228"/>
            <a:ext cx="60325" cy="82550"/>
          </a:xfrm>
          <a:custGeom>
            <a:avLst/>
            <a:gdLst>
              <a:gd name="T0" fmla="*/ 0 w 110"/>
              <a:gd name="T1" fmla="*/ 2147483647 h 150"/>
              <a:gd name="T2" fmla="*/ 2147483647 w 110"/>
              <a:gd name="T3" fmla="*/ 0 h 150"/>
              <a:gd name="T4" fmla="*/ 2147483647 w 110"/>
              <a:gd name="T5" fmla="*/ 2147483647 h 150"/>
              <a:gd name="T6" fmla="*/ 2147483647 w 110"/>
              <a:gd name="T7" fmla="*/ 2147483647 h 150"/>
              <a:gd name="T8" fmla="*/ 0 w 110"/>
              <a:gd name="T9" fmla="*/ 2147483647 h 150"/>
              <a:gd name="T10" fmla="*/ 2147483647 w 110"/>
              <a:gd name="T11" fmla="*/ 2147483647 h 150"/>
              <a:gd name="T12" fmla="*/ 2147483647 w 110"/>
              <a:gd name="T13" fmla="*/ 2147483647 h 150"/>
              <a:gd name="T14" fmla="*/ 2147483647 w 110"/>
              <a:gd name="T15" fmla="*/ 2147483647 h 150"/>
              <a:gd name="T16" fmla="*/ 2147483647 w 110"/>
              <a:gd name="T17" fmla="*/ 2147483647 h 150"/>
              <a:gd name="T18" fmla="*/ 2147483647 w 110"/>
              <a:gd name="T19" fmla="*/ 2147483647 h 15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0"/>
              <a:gd name="T31" fmla="*/ 0 h 150"/>
              <a:gd name="T32" fmla="*/ 110 w 110"/>
              <a:gd name="T33" fmla="*/ 150 h 15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0" h="150">
                <a:moveTo>
                  <a:pt x="0" y="77"/>
                </a:moveTo>
                <a:cubicBezTo>
                  <a:pt x="0" y="35"/>
                  <a:pt x="5" y="0"/>
                  <a:pt x="55" y="0"/>
                </a:cubicBezTo>
                <a:cubicBezTo>
                  <a:pt x="105" y="0"/>
                  <a:pt x="110" y="35"/>
                  <a:pt x="110" y="77"/>
                </a:cubicBezTo>
                <a:cubicBezTo>
                  <a:pt x="110" y="141"/>
                  <a:pt x="86" y="150"/>
                  <a:pt x="55" y="150"/>
                </a:cubicBezTo>
                <a:cubicBezTo>
                  <a:pt x="25" y="150"/>
                  <a:pt x="0" y="141"/>
                  <a:pt x="0" y="77"/>
                </a:cubicBezTo>
                <a:close/>
                <a:moveTo>
                  <a:pt x="86" y="67"/>
                </a:moveTo>
                <a:cubicBezTo>
                  <a:pt x="86" y="28"/>
                  <a:pt x="73" y="19"/>
                  <a:pt x="55" y="19"/>
                </a:cubicBezTo>
                <a:cubicBezTo>
                  <a:pt x="37" y="19"/>
                  <a:pt x="25" y="28"/>
                  <a:pt x="25" y="67"/>
                </a:cubicBezTo>
                <a:cubicBezTo>
                  <a:pt x="25" y="114"/>
                  <a:pt x="31" y="131"/>
                  <a:pt x="55" y="131"/>
                </a:cubicBezTo>
                <a:cubicBezTo>
                  <a:pt x="80" y="131"/>
                  <a:pt x="86" y="114"/>
                  <a:pt x="86" y="67"/>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7" name="Freeform 16"/>
          <xdr:cNvSpPr>
            <a:spLocks noEditPoints="1"/>
          </xdr:cNvSpPr>
        </xdr:nvSpPr>
        <xdr:spPr bwMode="auto">
          <a:xfrm>
            <a:off x="3618942" y="2487891"/>
            <a:ext cx="57150" cy="115887"/>
          </a:xfrm>
          <a:custGeom>
            <a:avLst/>
            <a:gdLst>
              <a:gd name="T0" fmla="*/ 2147483647 w 104"/>
              <a:gd name="T1" fmla="*/ 2147483647 h 209"/>
              <a:gd name="T2" fmla="*/ 0 w 104"/>
              <a:gd name="T3" fmla="*/ 2147483647 h 209"/>
              <a:gd name="T4" fmla="*/ 0 w 104"/>
              <a:gd name="T5" fmla="*/ 0 h 209"/>
              <a:gd name="T6" fmla="*/ 2147483647 w 104"/>
              <a:gd name="T7" fmla="*/ 0 h 209"/>
              <a:gd name="T8" fmla="*/ 2147483647 w 104"/>
              <a:gd name="T9" fmla="*/ 2147483647 h 209"/>
              <a:gd name="T10" fmla="*/ 2147483647 w 104"/>
              <a:gd name="T11" fmla="*/ 2147483647 h 209"/>
              <a:gd name="T12" fmla="*/ 2147483647 w 104"/>
              <a:gd name="T13" fmla="*/ 2147483647 h 209"/>
              <a:gd name="T14" fmla="*/ 2147483647 w 104"/>
              <a:gd name="T15" fmla="*/ 2147483647 h 209"/>
              <a:gd name="T16" fmla="*/ 2147483647 w 104"/>
              <a:gd name="T17" fmla="*/ 2147483647 h 209"/>
              <a:gd name="T18" fmla="*/ 2147483647 w 104"/>
              <a:gd name="T19" fmla="*/ 2147483647 h 209"/>
              <a:gd name="T20" fmla="*/ 2147483647 w 104"/>
              <a:gd name="T21" fmla="*/ 2147483647 h 209"/>
              <a:gd name="T22" fmla="*/ 2147483647 w 104"/>
              <a:gd name="T23" fmla="*/ 2147483647 h 209"/>
              <a:gd name="T24" fmla="*/ 2147483647 w 104"/>
              <a:gd name="T25" fmla="*/ 2147483647 h 209"/>
              <a:gd name="T26" fmla="*/ 2147483647 w 104"/>
              <a:gd name="T27" fmla="*/ 2147483647 h 209"/>
              <a:gd name="T28" fmla="*/ 2147483647 w 104"/>
              <a:gd name="T29" fmla="*/ 2147483647 h 209"/>
              <a:gd name="T30" fmla="*/ 2147483647 w 104"/>
              <a:gd name="T31" fmla="*/ 2147483647 h 209"/>
              <a:gd name="T32" fmla="*/ 2147483647 w 104"/>
              <a:gd name="T33" fmla="*/ 2147483647 h 20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04"/>
              <a:gd name="T52" fmla="*/ 0 h 209"/>
              <a:gd name="T53" fmla="*/ 104 w 104"/>
              <a:gd name="T54" fmla="*/ 209 h 20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04" h="209">
                <a:moveTo>
                  <a:pt x="24" y="206"/>
                </a:moveTo>
                <a:cubicBezTo>
                  <a:pt x="0" y="206"/>
                  <a:pt x="0" y="206"/>
                  <a:pt x="0" y="206"/>
                </a:cubicBezTo>
                <a:cubicBezTo>
                  <a:pt x="0" y="0"/>
                  <a:pt x="0" y="0"/>
                  <a:pt x="0" y="0"/>
                </a:cubicBezTo>
                <a:cubicBezTo>
                  <a:pt x="24" y="0"/>
                  <a:pt x="24" y="0"/>
                  <a:pt x="24" y="0"/>
                </a:cubicBezTo>
                <a:cubicBezTo>
                  <a:pt x="24" y="77"/>
                  <a:pt x="24" y="77"/>
                  <a:pt x="24" y="77"/>
                </a:cubicBezTo>
                <a:cubicBezTo>
                  <a:pt x="25" y="77"/>
                  <a:pt x="25" y="77"/>
                  <a:pt x="25" y="77"/>
                </a:cubicBezTo>
                <a:cubicBezTo>
                  <a:pt x="33" y="65"/>
                  <a:pt x="43" y="59"/>
                  <a:pt x="56" y="59"/>
                </a:cubicBezTo>
                <a:cubicBezTo>
                  <a:pt x="103" y="59"/>
                  <a:pt x="104" y="101"/>
                  <a:pt x="104" y="137"/>
                </a:cubicBezTo>
                <a:cubicBezTo>
                  <a:pt x="104" y="200"/>
                  <a:pt x="81" y="209"/>
                  <a:pt x="58" y="209"/>
                </a:cubicBezTo>
                <a:cubicBezTo>
                  <a:pt x="43" y="209"/>
                  <a:pt x="33" y="203"/>
                  <a:pt x="25" y="189"/>
                </a:cubicBezTo>
                <a:cubicBezTo>
                  <a:pt x="24" y="189"/>
                  <a:pt x="24" y="189"/>
                  <a:pt x="24" y="189"/>
                </a:cubicBezTo>
                <a:lnTo>
                  <a:pt x="24" y="206"/>
                </a:lnTo>
                <a:close/>
                <a:moveTo>
                  <a:pt x="50" y="190"/>
                </a:moveTo>
                <a:cubicBezTo>
                  <a:pt x="80" y="190"/>
                  <a:pt x="80" y="159"/>
                  <a:pt x="80" y="137"/>
                </a:cubicBezTo>
                <a:cubicBezTo>
                  <a:pt x="80" y="98"/>
                  <a:pt x="76" y="78"/>
                  <a:pt x="51" y="78"/>
                </a:cubicBezTo>
                <a:cubicBezTo>
                  <a:pt x="25" y="78"/>
                  <a:pt x="24" y="109"/>
                  <a:pt x="24" y="128"/>
                </a:cubicBezTo>
                <a:cubicBezTo>
                  <a:pt x="24" y="150"/>
                  <a:pt x="21" y="190"/>
                  <a:pt x="50" y="190"/>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8" name="Freeform 17"/>
          <xdr:cNvSpPr>
            <a:spLocks noEditPoints="1"/>
          </xdr:cNvSpPr>
        </xdr:nvSpPr>
        <xdr:spPr bwMode="auto">
          <a:xfrm>
            <a:off x="3695142" y="2521228"/>
            <a:ext cx="57150" cy="82550"/>
          </a:xfrm>
          <a:custGeom>
            <a:avLst/>
            <a:gdLst>
              <a:gd name="T0" fmla="*/ 2147483647 w 102"/>
              <a:gd name="T1" fmla="*/ 2147483647 h 150"/>
              <a:gd name="T2" fmla="*/ 2147483647 w 102"/>
              <a:gd name="T3" fmla="*/ 2147483647 h 150"/>
              <a:gd name="T4" fmla="*/ 2147483647 w 102"/>
              <a:gd name="T5" fmla="*/ 2147483647 h 150"/>
              <a:gd name="T6" fmla="*/ 0 w 102"/>
              <a:gd name="T7" fmla="*/ 2147483647 h 150"/>
              <a:gd name="T8" fmla="*/ 2147483647 w 102"/>
              <a:gd name="T9" fmla="*/ 2147483647 h 150"/>
              <a:gd name="T10" fmla="*/ 2147483647 w 102"/>
              <a:gd name="T11" fmla="*/ 2147483647 h 150"/>
              <a:gd name="T12" fmla="*/ 2147483647 w 102"/>
              <a:gd name="T13" fmla="*/ 2147483647 h 150"/>
              <a:gd name="T14" fmla="*/ 2147483647 w 102"/>
              <a:gd name="T15" fmla="*/ 2147483647 h 150"/>
              <a:gd name="T16" fmla="*/ 2147483647 w 102"/>
              <a:gd name="T17" fmla="*/ 0 h 150"/>
              <a:gd name="T18" fmla="*/ 2147483647 w 102"/>
              <a:gd name="T19" fmla="*/ 2147483647 h 150"/>
              <a:gd name="T20" fmla="*/ 2147483647 w 102"/>
              <a:gd name="T21" fmla="*/ 2147483647 h 150"/>
              <a:gd name="T22" fmla="*/ 2147483647 w 102"/>
              <a:gd name="T23" fmla="*/ 2147483647 h 150"/>
              <a:gd name="T24" fmla="*/ 2147483647 w 102"/>
              <a:gd name="T25" fmla="*/ 2147483647 h 150"/>
              <a:gd name="T26" fmla="*/ 2147483647 w 102"/>
              <a:gd name="T27" fmla="*/ 2147483647 h 150"/>
              <a:gd name="T28" fmla="*/ 2147483647 w 102"/>
              <a:gd name="T29" fmla="*/ 2147483647 h 150"/>
              <a:gd name="T30" fmla="*/ 2147483647 w 102"/>
              <a:gd name="T31" fmla="*/ 2147483647 h 150"/>
              <a:gd name="T32" fmla="*/ 2147483647 w 102"/>
              <a:gd name="T33" fmla="*/ 2147483647 h 150"/>
              <a:gd name="T34" fmla="*/ 2147483647 w 102"/>
              <a:gd name="T35" fmla="*/ 2147483647 h 1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02"/>
              <a:gd name="T55" fmla="*/ 0 h 150"/>
              <a:gd name="T56" fmla="*/ 102 w 102"/>
              <a:gd name="T57" fmla="*/ 150 h 15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02" h="150">
                <a:moveTo>
                  <a:pt x="77" y="126"/>
                </a:moveTo>
                <a:cubicBezTo>
                  <a:pt x="76" y="126"/>
                  <a:pt x="76" y="126"/>
                  <a:pt x="76" y="126"/>
                </a:cubicBezTo>
                <a:cubicBezTo>
                  <a:pt x="69" y="143"/>
                  <a:pt x="58" y="150"/>
                  <a:pt x="40" y="150"/>
                </a:cubicBezTo>
                <a:cubicBezTo>
                  <a:pt x="9" y="150"/>
                  <a:pt x="0" y="130"/>
                  <a:pt x="0" y="103"/>
                </a:cubicBezTo>
                <a:cubicBezTo>
                  <a:pt x="0" y="59"/>
                  <a:pt x="43" y="57"/>
                  <a:pt x="76" y="58"/>
                </a:cubicBezTo>
                <a:cubicBezTo>
                  <a:pt x="77" y="39"/>
                  <a:pt x="77" y="18"/>
                  <a:pt x="52" y="18"/>
                </a:cubicBezTo>
                <a:cubicBezTo>
                  <a:pt x="36" y="18"/>
                  <a:pt x="28" y="28"/>
                  <a:pt x="29" y="44"/>
                </a:cubicBezTo>
                <a:cubicBezTo>
                  <a:pt x="4" y="44"/>
                  <a:pt x="4" y="44"/>
                  <a:pt x="4" y="44"/>
                </a:cubicBezTo>
                <a:cubicBezTo>
                  <a:pt x="5" y="11"/>
                  <a:pt x="22" y="0"/>
                  <a:pt x="53" y="0"/>
                </a:cubicBezTo>
                <a:cubicBezTo>
                  <a:pt x="90" y="0"/>
                  <a:pt x="100" y="19"/>
                  <a:pt x="100" y="44"/>
                </a:cubicBezTo>
                <a:cubicBezTo>
                  <a:pt x="100" y="113"/>
                  <a:pt x="100" y="113"/>
                  <a:pt x="100" y="113"/>
                </a:cubicBezTo>
                <a:cubicBezTo>
                  <a:pt x="100" y="124"/>
                  <a:pt x="101" y="136"/>
                  <a:pt x="102" y="147"/>
                </a:cubicBezTo>
                <a:cubicBezTo>
                  <a:pt x="77" y="147"/>
                  <a:pt x="77" y="147"/>
                  <a:pt x="77" y="147"/>
                </a:cubicBezTo>
                <a:lnTo>
                  <a:pt x="77" y="126"/>
                </a:lnTo>
                <a:close/>
                <a:moveTo>
                  <a:pt x="24" y="105"/>
                </a:moveTo>
                <a:cubicBezTo>
                  <a:pt x="24" y="119"/>
                  <a:pt x="31" y="131"/>
                  <a:pt x="46" y="131"/>
                </a:cubicBezTo>
                <a:cubicBezTo>
                  <a:pt x="61" y="131"/>
                  <a:pt x="78" y="122"/>
                  <a:pt x="76" y="76"/>
                </a:cubicBezTo>
                <a:cubicBezTo>
                  <a:pt x="54" y="76"/>
                  <a:pt x="24" y="74"/>
                  <a:pt x="24" y="105"/>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19" name="Rectangle 18"/>
          <xdr:cNvSpPr>
            <a:spLocks noChangeArrowheads="1"/>
          </xdr:cNvSpPr>
        </xdr:nvSpPr>
        <xdr:spPr bwMode="auto">
          <a:xfrm>
            <a:off x="3776105" y="2487891"/>
            <a:ext cx="11112" cy="114300"/>
          </a:xfrm>
          <a:prstGeom prst="rect">
            <a:avLst/>
          </a:pr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pPr algn="ctr" eaLnBrk="0" hangingPunct="0"/>
            <a:endParaRPr lang="en-US"/>
          </a:p>
        </xdr:txBody>
      </xdr:sp>
      <xdr:sp macro="" textlink="">
        <xdr:nvSpPr>
          <xdr:cNvPr id="20" name="Freeform 19"/>
          <xdr:cNvSpPr>
            <a:spLocks/>
          </xdr:cNvSpPr>
        </xdr:nvSpPr>
        <xdr:spPr bwMode="auto">
          <a:xfrm>
            <a:off x="3845955" y="2486303"/>
            <a:ext cx="68262" cy="119063"/>
          </a:xfrm>
          <a:custGeom>
            <a:avLst/>
            <a:gdLst>
              <a:gd name="T0" fmla="*/ 2147483647 w 125"/>
              <a:gd name="T1" fmla="*/ 2147483647 h 215"/>
              <a:gd name="T2" fmla="*/ 2147483647 w 125"/>
              <a:gd name="T3" fmla="*/ 2147483647 h 215"/>
              <a:gd name="T4" fmla="*/ 2147483647 w 125"/>
              <a:gd name="T5" fmla="*/ 2147483647 h 215"/>
              <a:gd name="T6" fmla="*/ 2147483647 w 125"/>
              <a:gd name="T7" fmla="*/ 2147483647 h 215"/>
              <a:gd name="T8" fmla="*/ 2147483647 w 125"/>
              <a:gd name="T9" fmla="*/ 2147483647 h 215"/>
              <a:gd name="T10" fmla="*/ 2147483647 w 125"/>
              <a:gd name="T11" fmla="*/ 2147483647 h 215"/>
              <a:gd name="T12" fmla="*/ 2147483647 w 125"/>
              <a:gd name="T13" fmla="*/ 2147483647 h 215"/>
              <a:gd name="T14" fmla="*/ 2147483647 w 125"/>
              <a:gd name="T15" fmla="*/ 2147483647 h 215"/>
              <a:gd name="T16" fmla="*/ 2147483647 w 125"/>
              <a:gd name="T17" fmla="*/ 2147483647 h 215"/>
              <a:gd name="T18" fmla="*/ 2147483647 w 125"/>
              <a:gd name="T19" fmla="*/ 2147483647 h 215"/>
              <a:gd name="T20" fmla="*/ 0 w 125"/>
              <a:gd name="T21" fmla="*/ 2147483647 h 215"/>
              <a:gd name="T22" fmla="*/ 0 w 125"/>
              <a:gd name="T23" fmla="*/ 2147483647 h 215"/>
              <a:gd name="T24" fmla="*/ 2147483647 w 125"/>
              <a:gd name="T25" fmla="*/ 0 h 215"/>
              <a:gd name="T26" fmla="*/ 2147483647 w 125"/>
              <a:gd name="T27" fmla="*/ 2147483647 h 215"/>
              <a:gd name="T28" fmla="*/ 2147483647 w 125"/>
              <a:gd name="T29" fmla="*/ 2147483647 h 21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5"/>
              <a:gd name="T46" fmla="*/ 0 h 215"/>
              <a:gd name="T47" fmla="*/ 125 w 125"/>
              <a:gd name="T48" fmla="*/ 215 h 21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5" h="215">
                <a:moveTo>
                  <a:pt x="94" y="61"/>
                </a:moveTo>
                <a:cubicBezTo>
                  <a:pt x="94" y="49"/>
                  <a:pt x="93" y="38"/>
                  <a:pt x="87" y="31"/>
                </a:cubicBezTo>
                <a:cubicBezTo>
                  <a:pt x="82" y="24"/>
                  <a:pt x="70" y="22"/>
                  <a:pt x="64" y="22"/>
                </a:cubicBezTo>
                <a:cubicBezTo>
                  <a:pt x="43" y="22"/>
                  <a:pt x="34" y="35"/>
                  <a:pt x="33" y="38"/>
                </a:cubicBezTo>
                <a:cubicBezTo>
                  <a:pt x="32" y="40"/>
                  <a:pt x="27" y="46"/>
                  <a:pt x="27" y="81"/>
                </a:cubicBezTo>
                <a:cubicBezTo>
                  <a:pt x="27" y="136"/>
                  <a:pt x="27" y="136"/>
                  <a:pt x="27" y="136"/>
                </a:cubicBezTo>
                <a:cubicBezTo>
                  <a:pt x="27" y="187"/>
                  <a:pt x="44" y="193"/>
                  <a:pt x="64" y="193"/>
                </a:cubicBezTo>
                <a:cubicBezTo>
                  <a:pt x="72" y="193"/>
                  <a:pt x="96" y="190"/>
                  <a:pt x="97" y="149"/>
                </a:cubicBezTo>
                <a:cubicBezTo>
                  <a:pt x="124" y="149"/>
                  <a:pt x="124" y="149"/>
                  <a:pt x="124" y="149"/>
                </a:cubicBezTo>
                <a:cubicBezTo>
                  <a:pt x="125" y="215"/>
                  <a:pt x="79" y="215"/>
                  <a:pt x="66" y="215"/>
                </a:cubicBezTo>
                <a:cubicBezTo>
                  <a:pt x="40" y="215"/>
                  <a:pt x="0" y="213"/>
                  <a:pt x="0" y="133"/>
                </a:cubicBezTo>
                <a:cubicBezTo>
                  <a:pt x="0" y="75"/>
                  <a:pt x="0" y="75"/>
                  <a:pt x="0" y="75"/>
                </a:cubicBezTo>
                <a:cubicBezTo>
                  <a:pt x="0" y="16"/>
                  <a:pt x="26" y="0"/>
                  <a:pt x="67" y="0"/>
                </a:cubicBezTo>
                <a:cubicBezTo>
                  <a:pt x="108" y="0"/>
                  <a:pt x="123" y="21"/>
                  <a:pt x="121" y="61"/>
                </a:cubicBezTo>
                <a:lnTo>
                  <a:pt x="94" y="61"/>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1" name="Freeform 20"/>
          <xdr:cNvSpPr>
            <a:spLocks noEditPoints="1"/>
          </xdr:cNvSpPr>
        </xdr:nvSpPr>
        <xdr:spPr bwMode="auto">
          <a:xfrm>
            <a:off x="3930092" y="2521228"/>
            <a:ext cx="61913" cy="82550"/>
          </a:xfrm>
          <a:custGeom>
            <a:avLst/>
            <a:gdLst>
              <a:gd name="T0" fmla="*/ 0 w 110"/>
              <a:gd name="T1" fmla="*/ 2147483647 h 150"/>
              <a:gd name="T2" fmla="*/ 2147483647 w 110"/>
              <a:gd name="T3" fmla="*/ 0 h 150"/>
              <a:gd name="T4" fmla="*/ 2147483647 w 110"/>
              <a:gd name="T5" fmla="*/ 2147483647 h 150"/>
              <a:gd name="T6" fmla="*/ 2147483647 w 110"/>
              <a:gd name="T7" fmla="*/ 2147483647 h 150"/>
              <a:gd name="T8" fmla="*/ 0 w 110"/>
              <a:gd name="T9" fmla="*/ 2147483647 h 150"/>
              <a:gd name="T10" fmla="*/ 2147483647 w 110"/>
              <a:gd name="T11" fmla="*/ 2147483647 h 150"/>
              <a:gd name="T12" fmla="*/ 2147483647 w 110"/>
              <a:gd name="T13" fmla="*/ 2147483647 h 150"/>
              <a:gd name="T14" fmla="*/ 2147483647 w 110"/>
              <a:gd name="T15" fmla="*/ 2147483647 h 150"/>
              <a:gd name="T16" fmla="*/ 2147483647 w 110"/>
              <a:gd name="T17" fmla="*/ 2147483647 h 150"/>
              <a:gd name="T18" fmla="*/ 2147483647 w 110"/>
              <a:gd name="T19" fmla="*/ 2147483647 h 15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0"/>
              <a:gd name="T31" fmla="*/ 0 h 150"/>
              <a:gd name="T32" fmla="*/ 110 w 110"/>
              <a:gd name="T33" fmla="*/ 150 h 15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0" h="150">
                <a:moveTo>
                  <a:pt x="0" y="77"/>
                </a:moveTo>
                <a:cubicBezTo>
                  <a:pt x="0" y="35"/>
                  <a:pt x="5" y="0"/>
                  <a:pt x="55" y="0"/>
                </a:cubicBezTo>
                <a:cubicBezTo>
                  <a:pt x="105" y="0"/>
                  <a:pt x="110" y="35"/>
                  <a:pt x="110" y="77"/>
                </a:cubicBezTo>
                <a:cubicBezTo>
                  <a:pt x="110" y="141"/>
                  <a:pt x="85" y="150"/>
                  <a:pt x="55" y="150"/>
                </a:cubicBezTo>
                <a:cubicBezTo>
                  <a:pt x="24" y="150"/>
                  <a:pt x="0" y="141"/>
                  <a:pt x="0" y="77"/>
                </a:cubicBezTo>
                <a:close/>
                <a:moveTo>
                  <a:pt x="85" y="67"/>
                </a:moveTo>
                <a:cubicBezTo>
                  <a:pt x="85" y="28"/>
                  <a:pt x="73" y="19"/>
                  <a:pt x="55" y="19"/>
                </a:cubicBezTo>
                <a:cubicBezTo>
                  <a:pt x="37" y="19"/>
                  <a:pt x="25" y="28"/>
                  <a:pt x="25" y="67"/>
                </a:cubicBezTo>
                <a:cubicBezTo>
                  <a:pt x="25" y="114"/>
                  <a:pt x="31" y="131"/>
                  <a:pt x="55" y="131"/>
                </a:cubicBezTo>
                <a:cubicBezTo>
                  <a:pt x="79" y="131"/>
                  <a:pt x="85" y="114"/>
                  <a:pt x="85" y="67"/>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2" name="Freeform 21"/>
          <xdr:cNvSpPr>
            <a:spLocks/>
          </xdr:cNvSpPr>
        </xdr:nvSpPr>
        <xdr:spPr bwMode="auto">
          <a:xfrm>
            <a:off x="4009467" y="2521228"/>
            <a:ext cx="93663" cy="80963"/>
          </a:xfrm>
          <a:custGeom>
            <a:avLst/>
            <a:gdLst>
              <a:gd name="T0" fmla="*/ 2147483647 w 169"/>
              <a:gd name="T1" fmla="*/ 2147483647 h 147"/>
              <a:gd name="T2" fmla="*/ 2147483647 w 169"/>
              <a:gd name="T3" fmla="*/ 2147483647 h 147"/>
              <a:gd name="T4" fmla="*/ 2147483647 w 169"/>
              <a:gd name="T5" fmla="*/ 2147483647 h 147"/>
              <a:gd name="T6" fmla="*/ 2147483647 w 169"/>
              <a:gd name="T7" fmla="*/ 2147483647 h 147"/>
              <a:gd name="T8" fmla="*/ 2147483647 w 169"/>
              <a:gd name="T9" fmla="*/ 2147483647 h 147"/>
              <a:gd name="T10" fmla="*/ 2147483647 w 169"/>
              <a:gd name="T11" fmla="*/ 2147483647 h 147"/>
              <a:gd name="T12" fmla="*/ 2147483647 w 169"/>
              <a:gd name="T13" fmla="*/ 2147483647 h 147"/>
              <a:gd name="T14" fmla="*/ 2147483647 w 169"/>
              <a:gd name="T15" fmla="*/ 2147483647 h 147"/>
              <a:gd name="T16" fmla="*/ 0 w 169"/>
              <a:gd name="T17" fmla="*/ 2147483647 h 147"/>
              <a:gd name="T18" fmla="*/ 2147483647 w 169"/>
              <a:gd name="T19" fmla="*/ 2147483647 h 147"/>
              <a:gd name="T20" fmla="*/ 2147483647 w 169"/>
              <a:gd name="T21" fmla="*/ 2147483647 h 147"/>
              <a:gd name="T22" fmla="*/ 2147483647 w 169"/>
              <a:gd name="T23" fmla="*/ 2147483647 h 147"/>
              <a:gd name="T24" fmla="*/ 2147483647 w 169"/>
              <a:gd name="T25" fmla="*/ 0 h 147"/>
              <a:gd name="T26" fmla="*/ 2147483647 w 169"/>
              <a:gd name="T27" fmla="*/ 2147483647 h 147"/>
              <a:gd name="T28" fmla="*/ 2147483647 w 169"/>
              <a:gd name="T29" fmla="*/ 0 h 147"/>
              <a:gd name="T30" fmla="*/ 2147483647 w 169"/>
              <a:gd name="T31" fmla="*/ 2147483647 h 147"/>
              <a:gd name="T32" fmla="*/ 2147483647 w 169"/>
              <a:gd name="T33" fmla="*/ 2147483647 h 147"/>
              <a:gd name="T34" fmla="*/ 2147483647 w 169"/>
              <a:gd name="T35" fmla="*/ 2147483647 h 147"/>
              <a:gd name="T36" fmla="*/ 2147483647 w 169"/>
              <a:gd name="T37" fmla="*/ 2147483647 h 147"/>
              <a:gd name="T38" fmla="*/ 2147483647 w 169"/>
              <a:gd name="T39" fmla="*/ 2147483647 h 147"/>
              <a:gd name="T40" fmla="*/ 2147483647 w 169"/>
              <a:gd name="T41" fmla="*/ 2147483647 h 147"/>
              <a:gd name="T42" fmla="*/ 2147483647 w 169"/>
              <a:gd name="T43" fmla="*/ 2147483647 h 147"/>
              <a:gd name="T44" fmla="*/ 2147483647 w 169"/>
              <a:gd name="T45" fmla="*/ 2147483647 h 147"/>
              <a:gd name="T46" fmla="*/ 2147483647 w 169"/>
              <a:gd name="T47" fmla="*/ 2147483647 h 14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69"/>
              <a:gd name="T73" fmla="*/ 0 h 147"/>
              <a:gd name="T74" fmla="*/ 169 w 169"/>
              <a:gd name="T75" fmla="*/ 147 h 14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69" h="147">
                <a:moveTo>
                  <a:pt x="74" y="147"/>
                </a:moveTo>
                <a:cubicBezTo>
                  <a:pt x="74" y="47"/>
                  <a:pt x="74" y="47"/>
                  <a:pt x="74" y="47"/>
                </a:cubicBezTo>
                <a:cubicBezTo>
                  <a:pt x="74" y="33"/>
                  <a:pt x="70" y="19"/>
                  <a:pt x="51" y="19"/>
                </a:cubicBezTo>
                <a:cubicBezTo>
                  <a:pt x="44" y="19"/>
                  <a:pt x="34" y="24"/>
                  <a:pt x="31" y="29"/>
                </a:cubicBezTo>
                <a:cubicBezTo>
                  <a:pt x="26" y="36"/>
                  <a:pt x="25" y="45"/>
                  <a:pt x="25" y="50"/>
                </a:cubicBezTo>
                <a:cubicBezTo>
                  <a:pt x="25" y="147"/>
                  <a:pt x="25" y="147"/>
                  <a:pt x="25" y="147"/>
                </a:cubicBezTo>
                <a:cubicBezTo>
                  <a:pt x="2" y="147"/>
                  <a:pt x="2" y="147"/>
                  <a:pt x="2" y="147"/>
                </a:cubicBezTo>
                <a:cubicBezTo>
                  <a:pt x="2" y="33"/>
                  <a:pt x="2" y="33"/>
                  <a:pt x="2" y="33"/>
                </a:cubicBezTo>
                <a:cubicBezTo>
                  <a:pt x="2" y="23"/>
                  <a:pt x="1" y="13"/>
                  <a:pt x="0" y="3"/>
                </a:cubicBezTo>
                <a:cubicBezTo>
                  <a:pt x="25" y="3"/>
                  <a:pt x="25" y="3"/>
                  <a:pt x="25" y="3"/>
                </a:cubicBezTo>
                <a:cubicBezTo>
                  <a:pt x="25" y="21"/>
                  <a:pt x="25" y="21"/>
                  <a:pt x="25" y="21"/>
                </a:cubicBezTo>
                <a:cubicBezTo>
                  <a:pt x="26" y="21"/>
                  <a:pt x="26" y="21"/>
                  <a:pt x="26" y="21"/>
                </a:cubicBezTo>
                <a:cubicBezTo>
                  <a:pt x="33" y="6"/>
                  <a:pt x="45" y="0"/>
                  <a:pt x="62" y="0"/>
                </a:cubicBezTo>
                <a:cubicBezTo>
                  <a:pt x="75" y="0"/>
                  <a:pt x="90" y="6"/>
                  <a:pt x="95" y="19"/>
                </a:cubicBezTo>
                <a:cubicBezTo>
                  <a:pt x="103" y="3"/>
                  <a:pt x="117" y="0"/>
                  <a:pt x="130" y="0"/>
                </a:cubicBezTo>
                <a:cubicBezTo>
                  <a:pt x="145" y="0"/>
                  <a:pt x="169" y="4"/>
                  <a:pt x="169" y="38"/>
                </a:cubicBezTo>
                <a:cubicBezTo>
                  <a:pt x="169" y="147"/>
                  <a:pt x="169" y="147"/>
                  <a:pt x="169" y="147"/>
                </a:cubicBezTo>
                <a:cubicBezTo>
                  <a:pt x="146" y="147"/>
                  <a:pt x="146" y="147"/>
                  <a:pt x="146" y="147"/>
                </a:cubicBezTo>
                <a:cubicBezTo>
                  <a:pt x="146" y="47"/>
                  <a:pt x="146" y="47"/>
                  <a:pt x="146" y="47"/>
                </a:cubicBezTo>
                <a:cubicBezTo>
                  <a:pt x="146" y="33"/>
                  <a:pt x="142" y="19"/>
                  <a:pt x="123" y="19"/>
                </a:cubicBezTo>
                <a:cubicBezTo>
                  <a:pt x="114" y="19"/>
                  <a:pt x="111" y="20"/>
                  <a:pt x="105" y="25"/>
                </a:cubicBezTo>
                <a:cubicBezTo>
                  <a:pt x="98" y="30"/>
                  <a:pt x="97" y="45"/>
                  <a:pt x="97" y="50"/>
                </a:cubicBezTo>
                <a:cubicBezTo>
                  <a:pt x="97" y="147"/>
                  <a:pt x="97" y="147"/>
                  <a:pt x="97" y="147"/>
                </a:cubicBezTo>
                <a:lnTo>
                  <a:pt x="74" y="147"/>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3" name="Freeform 22"/>
          <xdr:cNvSpPr>
            <a:spLocks noEditPoints="1"/>
          </xdr:cNvSpPr>
        </xdr:nvSpPr>
        <xdr:spPr bwMode="auto">
          <a:xfrm>
            <a:off x="4125355" y="2521228"/>
            <a:ext cx="58737" cy="111125"/>
          </a:xfrm>
          <a:custGeom>
            <a:avLst/>
            <a:gdLst>
              <a:gd name="T0" fmla="*/ 2147483647 w 104"/>
              <a:gd name="T1" fmla="*/ 2147483647 h 202"/>
              <a:gd name="T2" fmla="*/ 2147483647 w 104"/>
              <a:gd name="T3" fmla="*/ 2147483647 h 202"/>
              <a:gd name="T4" fmla="*/ 2147483647 w 104"/>
              <a:gd name="T5" fmla="*/ 0 h 202"/>
              <a:gd name="T6" fmla="*/ 2147483647 w 104"/>
              <a:gd name="T7" fmla="*/ 2147483647 h 202"/>
              <a:gd name="T8" fmla="*/ 2147483647 w 104"/>
              <a:gd name="T9" fmla="*/ 2147483647 h 202"/>
              <a:gd name="T10" fmla="*/ 2147483647 w 104"/>
              <a:gd name="T11" fmla="*/ 2147483647 h 202"/>
              <a:gd name="T12" fmla="*/ 2147483647 w 104"/>
              <a:gd name="T13" fmla="*/ 2147483647 h 202"/>
              <a:gd name="T14" fmla="*/ 2147483647 w 104"/>
              <a:gd name="T15" fmla="*/ 2147483647 h 202"/>
              <a:gd name="T16" fmla="*/ 0 w 104"/>
              <a:gd name="T17" fmla="*/ 2147483647 h 202"/>
              <a:gd name="T18" fmla="*/ 0 w 104"/>
              <a:gd name="T19" fmla="*/ 2147483647 h 202"/>
              <a:gd name="T20" fmla="*/ 2147483647 w 104"/>
              <a:gd name="T21" fmla="*/ 2147483647 h 202"/>
              <a:gd name="T22" fmla="*/ 2147483647 w 104"/>
              <a:gd name="T23" fmla="*/ 2147483647 h 202"/>
              <a:gd name="T24" fmla="*/ 2147483647 w 104"/>
              <a:gd name="T25" fmla="*/ 2147483647 h 202"/>
              <a:gd name="T26" fmla="*/ 2147483647 w 104"/>
              <a:gd name="T27" fmla="*/ 2147483647 h 202"/>
              <a:gd name="T28" fmla="*/ 2147483647 w 104"/>
              <a:gd name="T29" fmla="*/ 2147483647 h 202"/>
              <a:gd name="T30" fmla="*/ 2147483647 w 104"/>
              <a:gd name="T31" fmla="*/ 2147483647 h 202"/>
              <a:gd name="T32" fmla="*/ 2147483647 w 104"/>
              <a:gd name="T33" fmla="*/ 2147483647 h 20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04"/>
              <a:gd name="T52" fmla="*/ 0 h 202"/>
              <a:gd name="T53" fmla="*/ 104 w 104"/>
              <a:gd name="T54" fmla="*/ 202 h 20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04" h="202">
                <a:moveTo>
                  <a:pt x="24" y="20"/>
                </a:moveTo>
                <a:cubicBezTo>
                  <a:pt x="24" y="20"/>
                  <a:pt x="24" y="20"/>
                  <a:pt x="24" y="20"/>
                </a:cubicBezTo>
                <a:cubicBezTo>
                  <a:pt x="32" y="7"/>
                  <a:pt x="42" y="0"/>
                  <a:pt x="57" y="0"/>
                </a:cubicBezTo>
                <a:cubicBezTo>
                  <a:pt x="80" y="0"/>
                  <a:pt x="104" y="9"/>
                  <a:pt x="104" y="73"/>
                </a:cubicBezTo>
                <a:cubicBezTo>
                  <a:pt x="104" y="109"/>
                  <a:pt x="103" y="150"/>
                  <a:pt x="56" y="150"/>
                </a:cubicBezTo>
                <a:cubicBezTo>
                  <a:pt x="42" y="150"/>
                  <a:pt x="32" y="144"/>
                  <a:pt x="24" y="133"/>
                </a:cubicBezTo>
                <a:cubicBezTo>
                  <a:pt x="24" y="133"/>
                  <a:pt x="24" y="133"/>
                  <a:pt x="24" y="133"/>
                </a:cubicBezTo>
                <a:cubicBezTo>
                  <a:pt x="24" y="202"/>
                  <a:pt x="24" y="202"/>
                  <a:pt x="24" y="202"/>
                </a:cubicBezTo>
                <a:cubicBezTo>
                  <a:pt x="0" y="202"/>
                  <a:pt x="0" y="202"/>
                  <a:pt x="0" y="202"/>
                </a:cubicBezTo>
                <a:cubicBezTo>
                  <a:pt x="0" y="3"/>
                  <a:pt x="0" y="3"/>
                  <a:pt x="0" y="3"/>
                </a:cubicBezTo>
                <a:cubicBezTo>
                  <a:pt x="24" y="3"/>
                  <a:pt x="24" y="3"/>
                  <a:pt x="24" y="3"/>
                </a:cubicBezTo>
                <a:lnTo>
                  <a:pt x="24" y="20"/>
                </a:lnTo>
                <a:close/>
                <a:moveTo>
                  <a:pt x="79" y="73"/>
                </a:moveTo>
                <a:cubicBezTo>
                  <a:pt x="79" y="51"/>
                  <a:pt x="79" y="19"/>
                  <a:pt x="50" y="19"/>
                </a:cubicBezTo>
                <a:cubicBezTo>
                  <a:pt x="21" y="19"/>
                  <a:pt x="24" y="59"/>
                  <a:pt x="24" y="81"/>
                </a:cubicBezTo>
                <a:cubicBezTo>
                  <a:pt x="24" y="100"/>
                  <a:pt x="25" y="131"/>
                  <a:pt x="51" y="131"/>
                </a:cubicBezTo>
                <a:cubicBezTo>
                  <a:pt x="76" y="131"/>
                  <a:pt x="79" y="111"/>
                  <a:pt x="79" y="73"/>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4" name="Freeform 23"/>
          <xdr:cNvSpPr>
            <a:spLocks noEditPoints="1"/>
          </xdr:cNvSpPr>
        </xdr:nvSpPr>
        <xdr:spPr bwMode="auto">
          <a:xfrm>
            <a:off x="4203142" y="2521228"/>
            <a:ext cx="55563" cy="82550"/>
          </a:xfrm>
          <a:custGeom>
            <a:avLst/>
            <a:gdLst>
              <a:gd name="T0" fmla="*/ 2147483647 w 102"/>
              <a:gd name="T1" fmla="*/ 2147483647 h 150"/>
              <a:gd name="T2" fmla="*/ 2147483647 w 102"/>
              <a:gd name="T3" fmla="*/ 2147483647 h 150"/>
              <a:gd name="T4" fmla="*/ 2147483647 w 102"/>
              <a:gd name="T5" fmla="*/ 2147483647 h 150"/>
              <a:gd name="T6" fmla="*/ 0 w 102"/>
              <a:gd name="T7" fmla="*/ 2147483647 h 150"/>
              <a:gd name="T8" fmla="*/ 2147483647 w 102"/>
              <a:gd name="T9" fmla="*/ 2147483647 h 150"/>
              <a:gd name="T10" fmla="*/ 2147483647 w 102"/>
              <a:gd name="T11" fmla="*/ 2147483647 h 150"/>
              <a:gd name="T12" fmla="*/ 2147483647 w 102"/>
              <a:gd name="T13" fmla="*/ 2147483647 h 150"/>
              <a:gd name="T14" fmla="*/ 2147483647 w 102"/>
              <a:gd name="T15" fmla="*/ 2147483647 h 150"/>
              <a:gd name="T16" fmla="*/ 2147483647 w 102"/>
              <a:gd name="T17" fmla="*/ 0 h 150"/>
              <a:gd name="T18" fmla="*/ 2147483647 w 102"/>
              <a:gd name="T19" fmla="*/ 2147483647 h 150"/>
              <a:gd name="T20" fmla="*/ 2147483647 w 102"/>
              <a:gd name="T21" fmla="*/ 2147483647 h 150"/>
              <a:gd name="T22" fmla="*/ 2147483647 w 102"/>
              <a:gd name="T23" fmla="*/ 2147483647 h 150"/>
              <a:gd name="T24" fmla="*/ 2147483647 w 102"/>
              <a:gd name="T25" fmla="*/ 2147483647 h 150"/>
              <a:gd name="T26" fmla="*/ 2147483647 w 102"/>
              <a:gd name="T27" fmla="*/ 2147483647 h 150"/>
              <a:gd name="T28" fmla="*/ 2147483647 w 102"/>
              <a:gd name="T29" fmla="*/ 2147483647 h 150"/>
              <a:gd name="T30" fmla="*/ 2147483647 w 102"/>
              <a:gd name="T31" fmla="*/ 2147483647 h 150"/>
              <a:gd name="T32" fmla="*/ 2147483647 w 102"/>
              <a:gd name="T33" fmla="*/ 2147483647 h 150"/>
              <a:gd name="T34" fmla="*/ 2147483647 w 102"/>
              <a:gd name="T35" fmla="*/ 2147483647 h 15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02"/>
              <a:gd name="T55" fmla="*/ 0 h 150"/>
              <a:gd name="T56" fmla="*/ 102 w 102"/>
              <a:gd name="T57" fmla="*/ 150 h 150"/>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02" h="150">
                <a:moveTo>
                  <a:pt x="76" y="126"/>
                </a:moveTo>
                <a:cubicBezTo>
                  <a:pt x="76" y="126"/>
                  <a:pt x="76" y="126"/>
                  <a:pt x="76" y="126"/>
                </a:cubicBezTo>
                <a:cubicBezTo>
                  <a:pt x="69" y="143"/>
                  <a:pt x="57" y="150"/>
                  <a:pt x="39" y="150"/>
                </a:cubicBezTo>
                <a:cubicBezTo>
                  <a:pt x="9" y="150"/>
                  <a:pt x="0" y="130"/>
                  <a:pt x="0" y="103"/>
                </a:cubicBezTo>
                <a:cubicBezTo>
                  <a:pt x="0" y="59"/>
                  <a:pt x="43" y="57"/>
                  <a:pt x="76" y="58"/>
                </a:cubicBezTo>
                <a:cubicBezTo>
                  <a:pt x="76" y="39"/>
                  <a:pt x="77" y="18"/>
                  <a:pt x="51" y="18"/>
                </a:cubicBezTo>
                <a:cubicBezTo>
                  <a:pt x="36" y="18"/>
                  <a:pt x="27" y="28"/>
                  <a:pt x="29" y="44"/>
                </a:cubicBezTo>
                <a:cubicBezTo>
                  <a:pt x="3" y="44"/>
                  <a:pt x="3" y="44"/>
                  <a:pt x="3" y="44"/>
                </a:cubicBezTo>
                <a:cubicBezTo>
                  <a:pt x="5" y="11"/>
                  <a:pt x="22" y="0"/>
                  <a:pt x="52" y="0"/>
                </a:cubicBezTo>
                <a:cubicBezTo>
                  <a:pt x="89" y="0"/>
                  <a:pt x="99" y="19"/>
                  <a:pt x="99" y="44"/>
                </a:cubicBezTo>
                <a:cubicBezTo>
                  <a:pt x="99" y="113"/>
                  <a:pt x="99" y="113"/>
                  <a:pt x="99" y="113"/>
                </a:cubicBezTo>
                <a:cubicBezTo>
                  <a:pt x="99" y="124"/>
                  <a:pt x="100" y="136"/>
                  <a:pt x="102" y="147"/>
                </a:cubicBezTo>
                <a:cubicBezTo>
                  <a:pt x="76" y="147"/>
                  <a:pt x="76" y="147"/>
                  <a:pt x="76" y="147"/>
                </a:cubicBezTo>
                <a:lnTo>
                  <a:pt x="76" y="126"/>
                </a:lnTo>
                <a:close/>
                <a:moveTo>
                  <a:pt x="23" y="105"/>
                </a:moveTo>
                <a:cubicBezTo>
                  <a:pt x="23" y="119"/>
                  <a:pt x="30" y="131"/>
                  <a:pt x="46" y="131"/>
                </a:cubicBezTo>
                <a:cubicBezTo>
                  <a:pt x="60" y="131"/>
                  <a:pt x="78" y="122"/>
                  <a:pt x="76" y="76"/>
                </a:cubicBezTo>
                <a:cubicBezTo>
                  <a:pt x="53" y="76"/>
                  <a:pt x="23" y="74"/>
                  <a:pt x="23" y="105"/>
                </a:cubicBez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5" name="Freeform 24"/>
          <xdr:cNvSpPr>
            <a:spLocks/>
          </xdr:cNvSpPr>
        </xdr:nvSpPr>
        <xdr:spPr bwMode="auto">
          <a:xfrm>
            <a:off x="4280930" y="2521228"/>
            <a:ext cx="57150" cy="80963"/>
          </a:xfrm>
          <a:custGeom>
            <a:avLst/>
            <a:gdLst>
              <a:gd name="T0" fmla="*/ 2147483647 w 104"/>
              <a:gd name="T1" fmla="*/ 2147483647 h 147"/>
              <a:gd name="T2" fmla="*/ 2147483647 w 104"/>
              <a:gd name="T3" fmla="*/ 2147483647 h 147"/>
              <a:gd name="T4" fmla="*/ 2147483647 w 104"/>
              <a:gd name="T5" fmla="*/ 2147483647 h 147"/>
              <a:gd name="T6" fmla="*/ 2147483647 w 104"/>
              <a:gd name="T7" fmla="*/ 2147483647 h 147"/>
              <a:gd name="T8" fmla="*/ 2147483647 w 104"/>
              <a:gd name="T9" fmla="*/ 2147483647 h 147"/>
              <a:gd name="T10" fmla="*/ 2147483647 w 104"/>
              <a:gd name="T11" fmla="*/ 2147483647 h 147"/>
              <a:gd name="T12" fmla="*/ 2147483647 w 104"/>
              <a:gd name="T13" fmla="*/ 2147483647 h 147"/>
              <a:gd name="T14" fmla="*/ 0 w 104"/>
              <a:gd name="T15" fmla="*/ 2147483647 h 147"/>
              <a:gd name="T16" fmla="*/ 2147483647 w 104"/>
              <a:gd name="T17" fmla="*/ 2147483647 h 147"/>
              <a:gd name="T18" fmla="*/ 2147483647 w 104"/>
              <a:gd name="T19" fmla="*/ 2147483647 h 147"/>
              <a:gd name="T20" fmla="*/ 2147483647 w 104"/>
              <a:gd name="T21" fmla="*/ 2147483647 h 147"/>
              <a:gd name="T22" fmla="*/ 2147483647 w 104"/>
              <a:gd name="T23" fmla="*/ 0 h 147"/>
              <a:gd name="T24" fmla="*/ 2147483647 w 104"/>
              <a:gd name="T25" fmla="*/ 2147483647 h 147"/>
              <a:gd name="T26" fmla="*/ 2147483647 w 104"/>
              <a:gd name="T27" fmla="*/ 2147483647 h 147"/>
              <a:gd name="T28" fmla="*/ 2147483647 w 104"/>
              <a:gd name="T29" fmla="*/ 2147483647 h 14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04"/>
              <a:gd name="T46" fmla="*/ 0 h 147"/>
              <a:gd name="T47" fmla="*/ 104 w 104"/>
              <a:gd name="T48" fmla="*/ 147 h 147"/>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04" h="147">
                <a:moveTo>
                  <a:pt x="80" y="147"/>
                </a:moveTo>
                <a:cubicBezTo>
                  <a:pt x="80" y="47"/>
                  <a:pt x="80" y="47"/>
                  <a:pt x="80" y="47"/>
                </a:cubicBezTo>
                <a:cubicBezTo>
                  <a:pt x="80" y="32"/>
                  <a:pt x="75" y="19"/>
                  <a:pt x="55" y="19"/>
                </a:cubicBezTo>
                <a:cubicBezTo>
                  <a:pt x="29" y="19"/>
                  <a:pt x="25" y="42"/>
                  <a:pt x="25" y="62"/>
                </a:cubicBezTo>
                <a:cubicBezTo>
                  <a:pt x="25" y="147"/>
                  <a:pt x="25" y="147"/>
                  <a:pt x="25" y="147"/>
                </a:cubicBezTo>
                <a:cubicBezTo>
                  <a:pt x="2" y="147"/>
                  <a:pt x="2" y="147"/>
                  <a:pt x="2" y="147"/>
                </a:cubicBezTo>
                <a:cubicBezTo>
                  <a:pt x="2" y="33"/>
                  <a:pt x="2" y="33"/>
                  <a:pt x="2" y="33"/>
                </a:cubicBezTo>
                <a:cubicBezTo>
                  <a:pt x="2" y="23"/>
                  <a:pt x="1" y="13"/>
                  <a:pt x="0" y="3"/>
                </a:cubicBezTo>
                <a:cubicBezTo>
                  <a:pt x="25" y="3"/>
                  <a:pt x="25" y="3"/>
                  <a:pt x="25" y="3"/>
                </a:cubicBezTo>
                <a:cubicBezTo>
                  <a:pt x="25" y="22"/>
                  <a:pt x="25" y="22"/>
                  <a:pt x="25" y="22"/>
                </a:cubicBezTo>
                <a:cubicBezTo>
                  <a:pt x="26" y="22"/>
                  <a:pt x="26" y="22"/>
                  <a:pt x="26" y="22"/>
                </a:cubicBezTo>
                <a:cubicBezTo>
                  <a:pt x="36" y="5"/>
                  <a:pt x="46" y="0"/>
                  <a:pt x="65" y="0"/>
                </a:cubicBezTo>
                <a:cubicBezTo>
                  <a:pt x="96" y="0"/>
                  <a:pt x="104" y="19"/>
                  <a:pt x="104" y="47"/>
                </a:cubicBezTo>
                <a:cubicBezTo>
                  <a:pt x="104" y="147"/>
                  <a:pt x="104" y="147"/>
                  <a:pt x="104" y="147"/>
                </a:cubicBezTo>
                <a:lnTo>
                  <a:pt x="80" y="147"/>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sp macro="" textlink="">
        <xdr:nvSpPr>
          <xdr:cNvPr id="26" name="Freeform 25"/>
          <xdr:cNvSpPr>
            <a:spLocks/>
          </xdr:cNvSpPr>
        </xdr:nvSpPr>
        <xdr:spPr bwMode="auto">
          <a:xfrm>
            <a:off x="4350780" y="2522816"/>
            <a:ext cx="68262" cy="109537"/>
          </a:xfrm>
          <a:custGeom>
            <a:avLst/>
            <a:gdLst>
              <a:gd name="T0" fmla="*/ 2147483647 w 291"/>
              <a:gd name="T1" fmla="*/ 2147483647 h 470"/>
              <a:gd name="T2" fmla="*/ 2147483647 w 291"/>
              <a:gd name="T3" fmla="*/ 2147483647 h 470"/>
              <a:gd name="T4" fmla="*/ 2147483647 w 291"/>
              <a:gd name="T5" fmla="*/ 0 h 470"/>
              <a:gd name="T6" fmla="*/ 2147483647 w 291"/>
              <a:gd name="T7" fmla="*/ 0 h 470"/>
              <a:gd name="T8" fmla="*/ 2147483647 w 291"/>
              <a:gd name="T9" fmla="*/ 2147483647 h 470"/>
              <a:gd name="T10" fmla="*/ 2147483647 w 291"/>
              <a:gd name="T11" fmla="*/ 2147483647 h 470"/>
              <a:gd name="T12" fmla="*/ 2147483647 w 291"/>
              <a:gd name="T13" fmla="*/ 2147483647 h 470"/>
              <a:gd name="T14" fmla="*/ 0 w 291"/>
              <a:gd name="T15" fmla="*/ 0 h 470"/>
              <a:gd name="T16" fmla="*/ 2147483647 w 291"/>
              <a:gd name="T17" fmla="*/ 0 h 470"/>
              <a:gd name="T18" fmla="*/ 2147483647 w 291"/>
              <a:gd name="T19" fmla="*/ 2147483647 h 47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291"/>
              <a:gd name="T31" fmla="*/ 0 h 470"/>
              <a:gd name="T32" fmla="*/ 291 w 291"/>
              <a:gd name="T33" fmla="*/ 470 h 47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291" h="470">
                <a:moveTo>
                  <a:pt x="147" y="277"/>
                </a:moveTo>
                <a:lnTo>
                  <a:pt x="149" y="277"/>
                </a:lnTo>
                <a:lnTo>
                  <a:pt x="229" y="0"/>
                </a:lnTo>
                <a:lnTo>
                  <a:pt x="291" y="0"/>
                </a:lnTo>
                <a:lnTo>
                  <a:pt x="135" y="470"/>
                </a:lnTo>
                <a:lnTo>
                  <a:pt x="78" y="470"/>
                </a:lnTo>
                <a:lnTo>
                  <a:pt x="116" y="340"/>
                </a:lnTo>
                <a:lnTo>
                  <a:pt x="0" y="0"/>
                </a:lnTo>
                <a:lnTo>
                  <a:pt x="66" y="0"/>
                </a:lnTo>
                <a:lnTo>
                  <a:pt x="147" y="277"/>
                </a:lnTo>
                <a:close/>
              </a:path>
            </a:pathLst>
          </a:custGeom>
          <a:solidFill>
            <a:srgbClr val="005288"/>
          </a:solidFill>
          <a:ln w="9525">
            <a:noFill/>
            <a:round/>
            <a:headEnd/>
            <a:tailEnd/>
          </a:ln>
        </xdr:spPr>
        <xdr:txBody>
          <a:bodyPr wrap="square"/>
          <a:lstStyle>
            <a:defPPr>
              <a:defRPr lang="en-US"/>
            </a:defPPr>
            <a:lvl1pPr algn="l" rtl="0" fontAlgn="base">
              <a:spcBef>
                <a:spcPct val="0"/>
              </a:spcBef>
              <a:spcAft>
                <a:spcPct val="0"/>
              </a:spcAft>
              <a:defRPr b="1" kern="1200">
                <a:solidFill>
                  <a:schemeClr val="tx1"/>
                </a:solidFill>
                <a:latin typeface="Arial" charset="0"/>
                <a:ea typeface="+mn-ea"/>
                <a:cs typeface="Arial" charset="0"/>
              </a:defRPr>
            </a:lvl1pPr>
            <a:lvl2pPr marL="457200" algn="l" rtl="0" fontAlgn="base">
              <a:spcBef>
                <a:spcPct val="0"/>
              </a:spcBef>
              <a:spcAft>
                <a:spcPct val="0"/>
              </a:spcAft>
              <a:defRPr b="1" kern="1200">
                <a:solidFill>
                  <a:schemeClr val="tx1"/>
                </a:solidFill>
                <a:latin typeface="Arial" charset="0"/>
                <a:ea typeface="+mn-ea"/>
                <a:cs typeface="Arial" charset="0"/>
              </a:defRPr>
            </a:lvl2pPr>
            <a:lvl3pPr marL="914400" algn="l" rtl="0" fontAlgn="base">
              <a:spcBef>
                <a:spcPct val="0"/>
              </a:spcBef>
              <a:spcAft>
                <a:spcPct val="0"/>
              </a:spcAft>
              <a:defRPr b="1" kern="1200">
                <a:solidFill>
                  <a:schemeClr val="tx1"/>
                </a:solidFill>
                <a:latin typeface="Arial" charset="0"/>
                <a:ea typeface="+mn-ea"/>
                <a:cs typeface="Arial" charset="0"/>
              </a:defRPr>
            </a:lvl3pPr>
            <a:lvl4pPr marL="1371600" algn="l" rtl="0" fontAlgn="base">
              <a:spcBef>
                <a:spcPct val="0"/>
              </a:spcBef>
              <a:spcAft>
                <a:spcPct val="0"/>
              </a:spcAft>
              <a:defRPr b="1" kern="1200">
                <a:solidFill>
                  <a:schemeClr val="tx1"/>
                </a:solidFill>
                <a:latin typeface="Arial" charset="0"/>
                <a:ea typeface="+mn-ea"/>
                <a:cs typeface="Arial" charset="0"/>
              </a:defRPr>
            </a:lvl4pPr>
            <a:lvl5pPr marL="1828800" algn="l" rtl="0" fontAlgn="base">
              <a:spcBef>
                <a:spcPct val="0"/>
              </a:spcBef>
              <a:spcAft>
                <a:spcPct val="0"/>
              </a:spcAft>
              <a:defRPr b="1" kern="1200">
                <a:solidFill>
                  <a:schemeClr val="tx1"/>
                </a:solidFill>
                <a:latin typeface="Arial" charset="0"/>
                <a:ea typeface="+mn-ea"/>
                <a:cs typeface="Arial" charset="0"/>
              </a:defRPr>
            </a:lvl5pPr>
            <a:lvl6pPr marL="2286000" algn="l" defTabSz="914400" rtl="0" eaLnBrk="1" latinLnBrk="0" hangingPunct="1">
              <a:defRPr b="1" kern="1200">
                <a:solidFill>
                  <a:schemeClr val="tx1"/>
                </a:solidFill>
                <a:latin typeface="Arial" charset="0"/>
                <a:ea typeface="+mn-ea"/>
                <a:cs typeface="Arial" charset="0"/>
              </a:defRPr>
            </a:lvl6pPr>
            <a:lvl7pPr marL="2743200" algn="l" defTabSz="914400" rtl="0" eaLnBrk="1" latinLnBrk="0" hangingPunct="1">
              <a:defRPr b="1" kern="1200">
                <a:solidFill>
                  <a:schemeClr val="tx1"/>
                </a:solidFill>
                <a:latin typeface="Arial" charset="0"/>
                <a:ea typeface="+mn-ea"/>
                <a:cs typeface="Arial" charset="0"/>
              </a:defRPr>
            </a:lvl7pPr>
            <a:lvl8pPr marL="3200400" algn="l" defTabSz="914400" rtl="0" eaLnBrk="1" latinLnBrk="0" hangingPunct="1">
              <a:defRPr b="1" kern="1200">
                <a:solidFill>
                  <a:schemeClr val="tx1"/>
                </a:solidFill>
                <a:latin typeface="Arial" charset="0"/>
                <a:ea typeface="+mn-ea"/>
                <a:cs typeface="Arial" charset="0"/>
              </a:defRPr>
            </a:lvl8pPr>
            <a:lvl9pPr marL="3657600" algn="l" defTabSz="914400" rtl="0" eaLnBrk="1" latinLnBrk="0" hangingPunct="1">
              <a:defRPr b="1" kern="1200">
                <a:solidFill>
                  <a:schemeClr val="tx1"/>
                </a:solidFill>
                <a:latin typeface="Arial" charset="0"/>
                <a:ea typeface="+mn-ea"/>
                <a:cs typeface="Arial" charset="0"/>
              </a:defRPr>
            </a:lvl9pPr>
          </a:lstStyle>
          <a:p>
            <a:endParaRPr 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123264</xdr:colOff>
      <xdr:row>5</xdr:row>
      <xdr:rowOff>123265</xdr:rowOff>
    </xdr:from>
    <xdr:to>
      <xdr:col>13</xdr:col>
      <xdr:colOff>462154</xdr:colOff>
      <xdr:row>48</xdr:row>
      <xdr:rowOff>77409</xdr:rowOff>
    </xdr:to>
    <xdr:pic>
      <xdr:nvPicPr>
        <xdr:cNvPr id="58" name="Picture 57"/>
        <xdr:cNvPicPr>
          <a:picLocks noChangeAspect="1"/>
        </xdr:cNvPicPr>
      </xdr:nvPicPr>
      <xdr:blipFill>
        <a:blip xmlns:r="http://schemas.openxmlformats.org/officeDocument/2006/relationships" r:embed="rId1"/>
        <a:stretch>
          <a:fillRect/>
        </a:stretch>
      </xdr:blipFill>
      <xdr:spPr>
        <a:xfrm>
          <a:off x="123264" y="907677"/>
          <a:ext cx="9583743" cy="6700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136071</xdr:colOff>
      <xdr:row>7</xdr:row>
      <xdr:rowOff>54429</xdr:rowOff>
    </xdr:from>
    <xdr:to>
      <xdr:col>9</xdr:col>
      <xdr:colOff>340178</xdr:colOff>
      <xdr:row>26</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231323</xdr:colOff>
      <xdr:row>6</xdr:row>
      <xdr:rowOff>108856</xdr:rowOff>
    </xdr:from>
    <xdr:to>
      <xdr:col>15</xdr:col>
      <xdr:colOff>258537</xdr:colOff>
      <xdr:row>26</xdr:row>
      <xdr:rowOff>95250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Chiam, Hsing-Ren" refreshedDate="40931.490796759259" createdVersion="4" refreshedVersion="4" minRefreshableVersion="3" recordCount="37">
  <cacheSource type="worksheet">
    <worksheetSource ref="D135:G172" sheet="Sensitivities"/>
  </cacheSource>
  <cacheFields count="4">
    <cacheField name="Sensitivity" numFmtId="0">
      <sharedItems containsBlank="1" count="11">
        <s v="Model Call-times"/>
        <m/>
        <s v="Capex to OPEX ratio"/>
        <s v="CSA Training Costs"/>
        <s v="CSA Cost per Minute"/>
        <s v="TPV Fee"/>
        <s v="Channel Mix"/>
        <s v="Current Call time"/>
        <s v="FTE Costs"/>
        <s v="Day Rate"/>
        <s v="Switching rate"/>
      </sharedItems>
    </cacheField>
    <cacheField name="Model" numFmtId="0">
      <sharedItems containsBlank="1" count="4">
        <s v="USN"/>
        <s v="TPV"/>
        <s v="LPL"/>
        <m/>
      </sharedItems>
    </cacheField>
    <cacheField name="Lo 10" numFmtId="9">
      <sharedItems containsString="0" containsBlank="1" containsNumber="1" minValue="-0.16111601330204073" maxValue="5.0014249808875144E-2"/>
    </cacheField>
    <cacheField name="Hi 10" numFmtId="9">
      <sharedItems containsString="0" containsBlank="1" containsNumber="1" minValue="3.8707912983890758E-3" maxValue="0.16111601330204106"/>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Chiam, Hsing-Ren" refreshedDate="40931.490802893517" createdVersion="4" refreshedVersion="4" minRefreshableVersion="3" recordCount="37">
  <cacheSource type="worksheet">
    <worksheetSource ref="D96:G133" sheet="Sensitivities"/>
  </cacheSource>
  <cacheFields count="4">
    <cacheField name="Sensitivity" numFmtId="0">
      <sharedItems containsBlank="1" count="11">
        <s v="Model Call-times"/>
        <m/>
        <s v="Capex to OPEX ratio"/>
        <s v="CSA Training Costs"/>
        <s v="CSA Cost per Minute"/>
        <s v="TPV Fee"/>
        <s v="Channel Mix"/>
        <s v="Current Call time"/>
        <s v="FTE Costs"/>
        <s v="Day Rate"/>
        <s v="Switching rate"/>
      </sharedItems>
    </cacheField>
    <cacheField name="Model" numFmtId="0">
      <sharedItems containsBlank="1" count="4">
        <s v="USN"/>
        <s v="TPV"/>
        <s v="LPL"/>
        <m/>
      </sharedItems>
    </cacheField>
    <cacheField name="Lo 5 " numFmtId="9">
      <sharedItems containsString="0" containsBlank="1" containsNumber="1" minValue="-0.1315600778444832" maxValue="4.0839383145944153E-2"/>
    </cacheField>
    <cacheField name="Hi 5 " numFmtId="9">
      <sharedItems containsString="0" containsBlank="1" containsNumber="1" minValue="3.3157501847871362E-3" maxValue="0.1315600778444834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7">
  <r>
    <x v="0"/>
    <x v="0"/>
    <n v="-0.11143643898474487"/>
    <n v="0.1114364389847442"/>
  </r>
  <r>
    <x v="0"/>
    <x v="1"/>
    <n v="-8.2973715091656186E-2"/>
    <n v="8.2973715091656075E-2"/>
  </r>
  <r>
    <x v="0"/>
    <x v="2"/>
    <n v="-0.16111601330204073"/>
    <n v="0.16111601330204106"/>
  </r>
  <r>
    <x v="1"/>
    <x v="3"/>
    <m/>
    <m/>
  </r>
  <r>
    <x v="2"/>
    <x v="0"/>
    <n v="-3.4960940203757951E-2"/>
    <n v="3.4960940203758062E-2"/>
  </r>
  <r>
    <x v="2"/>
    <x v="1"/>
    <n v="-2.0828082844748019E-2"/>
    <n v="2.0828082844748241E-2"/>
  </r>
  <r>
    <x v="2"/>
    <x v="2"/>
    <n v="-1.6422279099619796E-2"/>
    <n v="1.6422279099620241E-2"/>
  </r>
  <r>
    <x v="1"/>
    <x v="3"/>
    <m/>
    <m/>
  </r>
  <r>
    <x v="3"/>
    <x v="0"/>
    <n v="-1.8885364120994952E-2"/>
    <n v="1.8885364120995174E-2"/>
  </r>
  <r>
    <x v="3"/>
    <x v="1"/>
    <n v="-1.1913142839455326E-2"/>
    <n v="1.1913142839455215E-2"/>
  </r>
  <r>
    <x v="3"/>
    <x v="2"/>
    <n v="-3.9006663537828334E-3"/>
    <n v="3.9006663537828334E-3"/>
  </r>
  <r>
    <x v="1"/>
    <x v="3"/>
    <m/>
    <m/>
  </r>
  <r>
    <x v="4"/>
    <x v="0"/>
    <n v="2.1785207299747977E-2"/>
    <n v="2.1785207299747977E-2"/>
  </r>
  <r>
    <x v="4"/>
    <x v="1"/>
    <n v="2.2896183532892245E-2"/>
    <n v="2.2896183532892245E-2"/>
  </r>
  <r>
    <x v="4"/>
    <x v="2"/>
    <n v="5.0014249808875144E-2"/>
    <n v="5.0014249808875144E-2"/>
  </r>
  <r>
    <x v="1"/>
    <x v="3"/>
    <m/>
    <m/>
  </r>
  <r>
    <x v="5"/>
    <x v="1"/>
    <n v="-3.1465964518679113E-2"/>
    <n v="3.1465964518679224E-2"/>
  </r>
  <r>
    <x v="1"/>
    <x v="3"/>
    <m/>
    <m/>
  </r>
  <r>
    <x v="6"/>
    <x v="0"/>
    <n v="-2.7231509124684639E-2"/>
    <n v="2.7231509124684639E-2"/>
  </r>
  <r>
    <x v="6"/>
    <x v="1"/>
    <n v="-5.1082885175744552E-2"/>
    <n v="5.1082885175744552E-2"/>
  </r>
  <r>
    <x v="6"/>
    <x v="2"/>
    <n v="-6.2517812261093764E-2"/>
    <n v="6.2517812261094097E-2"/>
  </r>
  <r>
    <x v="1"/>
    <x v="3"/>
    <m/>
    <m/>
  </r>
  <r>
    <x v="7"/>
    <x v="0"/>
    <n v="-8.9651231684997001E-2"/>
    <n v="8.9651231684996446E-2"/>
  </r>
  <r>
    <x v="7"/>
    <x v="1"/>
    <n v="-6.0077531558764274E-2"/>
    <n v="6.0077531558764274E-2"/>
  </r>
  <r>
    <x v="7"/>
    <x v="2"/>
    <n v="-0.11110176349316547"/>
    <n v="0.11110176349316547"/>
  </r>
  <r>
    <x v="1"/>
    <x v="3"/>
    <m/>
    <m/>
  </r>
  <r>
    <x v="8"/>
    <x v="0"/>
    <n v="-7.056618031473727E-3"/>
    <n v="7.056618031473727E-3"/>
  </r>
  <r>
    <x v="8"/>
    <x v="1"/>
    <n v="-3.8707912983888537E-3"/>
    <n v="3.8707912983890758E-3"/>
  </r>
  <r>
    <x v="8"/>
    <x v="2"/>
    <n v="-5.7032804127563619E-3"/>
    <n v="5.7032804127565839E-3"/>
  </r>
  <r>
    <x v="1"/>
    <x v="3"/>
    <m/>
    <m/>
  </r>
  <r>
    <x v="9"/>
    <x v="0"/>
    <n v="-3.2003679993157452E-2"/>
    <n v="3.2003679993157119E-2"/>
  </r>
  <r>
    <x v="9"/>
    <x v="1"/>
    <n v="-1.8479819552319143E-2"/>
    <n v="1.8479819552319032E-2"/>
  </r>
  <r>
    <x v="9"/>
    <x v="2"/>
    <n v="-1.7386095149429348E-2"/>
    <n v="1.738609514942957E-2"/>
  </r>
  <r>
    <x v="1"/>
    <x v="3"/>
    <m/>
    <m/>
  </r>
  <r>
    <x v="10"/>
    <x v="0"/>
    <n v="-2.1785207299748088E-2"/>
    <n v="2.1785207299747977E-2"/>
  </r>
  <r>
    <x v="10"/>
    <x v="1"/>
    <n v="-5.4362148051571357E-2"/>
    <n v="5.4362148051571024E-2"/>
  </r>
  <r>
    <x v="10"/>
    <x v="2"/>
    <n v="-5.0014249808874811E-2"/>
    <n v="5.0014249808874922E-2"/>
  </r>
</pivotCacheRecords>
</file>

<file path=xl/pivotCache/pivotCacheRecords2.xml><?xml version="1.0" encoding="utf-8"?>
<pivotCacheRecords xmlns="http://schemas.openxmlformats.org/spreadsheetml/2006/main" xmlns:r="http://schemas.openxmlformats.org/officeDocument/2006/relationships" count="37">
  <r>
    <x v="0"/>
    <x v="0"/>
    <n v="-8.6351406409115983E-2"/>
    <n v="8.6351406409115317E-2"/>
  </r>
  <r>
    <x v="0"/>
    <x v="1"/>
    <n v="-7.1075935109737198E-2"/>
    <n v="7.1075935109736976E-2"/>
  </r>
  <r>
    <x v="0"/>
    <x v="2"/>
    <n v="-0.1315600778444832"/>
    <n v="0.13156007784448343"/>
  </r>
  <r>
    <x v="1"/>
    <x v="3"/>
    <m/>
    <m/>
  </r>
  <r>
    <x v="2"/>
    <x v="0"/>
    <n v="-2.7091016040029725E-2"/>
    <n v="2.7091016040029503E-2"/>
  </r>
  <r>
    <x v="2"/>
    <x v="1"/>
    <n v="-1.7841499119308435E-2"/>
    <n v="1.7841499119308546E-2"/>
  </r>
  <r>
    <x v="2"/>
    <x v="2"/>
    <n v="-1.3409693254261001E-2"/>
    <n v="1.3409693254261335E-2"/>
  </r>
  <r>
    <x v="1"/>
    <x v="3"/>
    <m/>
    <m/>
  </r>
  <r>
    <x v="3"/>
    <x v="0"/>
    <n v="-1.9250634321948179E-2"/>
    <n v="1.9250634321948068E-2"/>
  </r>
  <r>
    <x v="3"/>
    <x v="1"/>
    <n v="-1.3424121904301645E-2"/>
    <n v="1.3424121904301867E-2"/>
  </r>
  <r>
    <x v="3"/>
    <x v="2"/>
    <n v="-4.1898812162152188E-3"/>
    <n v="4.1898812162153298E-3"/>
  </r>
  <r>
    <x v="1"/>
    <x v="3"/>
    <m/>
    <m/>
  </r>
  <r>
    <x v="4"/>
    <x v="0"/>
    <n v="1.6881222214080838E-2"/>
    <n v="1.6881222214080838E-2"/>
  </r>
  <r>
    <x v="4"/>
    <x v="1"/>
    <n v="1.9613050388870734E-2"/>
    <n v="1.9613050388870734E-2"/>
  </r>
  <r>
    <x v="4"/>
    <x v="2"/>
    <n v="4.0839383145944153E-2"/>
    <n v="4.0839383145944153E-2"/>
  </r>
  <r>
    <x v="1"/>
    <x v="3"/>
    <m/>
    <m/>
  </r>
  <r>
    <x v="5"/>
    <x v="1"/>
    <n v="-2.695399199402404E-2"/>
    <n v="2.6953991994023818E-2"/>
  </r>
  <r>
    <x v="1"/>
    <x v="3"/>
    <m/>
    <m/>
  </r>
  <r>
    <x v="6"/>
    <x v="0"/>
    <n v="-2.1101527767601436E-2"/>
    <n v="2.1101527767600992E-2"/>
  </r>
  <r>
    <x v="6"/>
    <x v="1"/>
    <n v="-4.3758000084227588E-2"/>
    <n v="4.3758000084227477E-2"/>
  </r>
  <r>
    <x v="6"/>
    <x v="2"/>
    <n v="-5.104922893242958E-2"/>
    <n v="5.1049228932430024E-2"/>
  </r>
  <r>
    <x v="1"/>
    <x v="3"/>
    <m/>
    <m/>
  </r>
  <r>
    <x v="7"/>
    <x v="0"/>
    <n v="-6.9470184195034812E-2"/>
    <n v="6.9470184195034257E-2"/>
  </r>
  <r>
    <x v="7"/>
    <x v="1"/>
    <n v="-5.1462884720866353E-2"/>
    <n v="5.1462884720866242E-2"/>
  </r>
  <r>
    <x v="7"/>
    <x v="2"/>
    <n v="-9.0720694698539051E-2"/>
    <n v="9.0720694698539495E-2"/>
  </r>
  <r>
    <x v="1"/>
    <x v="3"/>
    <m/>
    <m/>
  </r>
  <r>
    <x v="8"/>
    <x v="0"/>
    <n v="-5.4681296087819575E-3"/>
    <n v="5.4681296087815134E-3"/>
  </r>
  <r>
    <x v="8"/>
    <x v="1"/>
    <n v="-3.3157501847871362E-3"/>
    <n v="3.3157501847871362E-3"/>
  </r>
  <r>
    <x v="8"/>
    <x v="2"/>
    <n v="-4.6570418401831182E-3"/>
    <n v="4.6570418401836733E-3"/>
  </r>
  <r>
    <x v="1"/>
    <x v="3"/>
    <m/>
    <m/>
  </r>
  <r>
    <x v="9"/>
    <x v="0"/>
    <n v="-3.2680176477887679E-2"/>
    <n v="3.2680176477887235E-2"/>
  </r>
  <r>
    <x v="9"/>
    <x v="1"/>
    <n v="-2.0863765696057746E-2"/>
    <n v="2.0863765696057968E-2"/>
  </r>
  <r>
    <x v="9"/>
    <x v="2"/>
    <n v="-1.8750274730699568E-2"/>
    <n v="1.8750274730700012E-2"/>
  </r>
  <r>
    <x v="1"/>
    <x v="3"/>
    <m/>
    <m/>
  </r>
  <r>
    <x v="10"/>
    <x v="0"/>
    <n v="-1.6881222214081282E-2"/>
    <n v="1.6881222214080838E-2"/>
  </r>
  <r>
    <x v="10"/>
    <x v="1"/>
    <n v="-4.6567042382894885E-2"/>
    <n v="4.6567042382894552E-2"/>
  </r>
  <r>
    <x v="10"/>
    <x v="2"/>
    <n v="-4.0839383145943486E-2"/>
    <n v="4.083938314594393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rowHeaderCaption="Sensitivities">
  <location ref="B27:D36" firstHeaderRow="0" firstDataRow="1" firstDataCol="1" rowPageCount="1" colPageCount="1"/>
  <pivotFields count="4">
    <pivotField axis="axisRow" showAll="0" sortType="ascending">
      <items count="12">
        <item x="2"/>
        <item x="6"/>
        <item x="4"/>
        <item x="3"/>
        <item x="7"/>
        <item x="9"/>
        <item x="8"/>
        <item x="0"/>
        <item x="10"/>
        <item x="5"/>
        <item x="1"/>
        <item t="default"/>
      </items>
      <autoSortScope>
        <pivotArea dataOnly="0" outline="0" fieldPosition="0">
          <references count="1">
            <reference field="4294967294" count="1" selected="0">
              <x v="0"/>
            </reference>
          </references>
        </pivotArea>
      </autoSortScope>
    </pivotField>
    <pivotField axis="axisPage" showAll="0">
      <items count="5">
        <item x="2"/>
        <item x="1"/>
        <item x="0"/>
        <item x="3"/>
        <item t="default"/>
      </items>
    </pivotField>
    <pivotField dataField="1" showAll="0"/>
    <pivotField dataField="1" showAll="0"/>
  </pivotFields>
  <rowFields count="1">
    <field x="0"/>
  </rowFields>
  <rowItems count="9">
    <i>
      <x v="7"/>
    </i>
    <i>
      <x v="4"/>
    </i>
    <i>
      <x v="1"/>
    </i>
    <i>
      <x v="8"/>
    </i>
    <i>
      <x v="5"/>
    </i>
    <i>
      <x/>
    </i>
    <i>
      <x v="6"/>
    </i>
    <i>
      <x v="3"/>
    </i>
    <i>
      <x v="2"/>
    </i>
  </rowItems>
  <colFields count="1">
    <field x="-2"/>
  </colFields>
  <colItems count="2">
    <i>
      <x/>
    </i>
    <i i="1">
      <x v="1"/>
    </i>
  </colItems>
  <pageFields count="1">
    <pageField fld="1" item="0" hier="-1"/>
  </pageFields>
  <dataFields count="2">
    <dataField name="Decrease 10%" fld="2" subtotal="average" baseField="0" baseItem="7"/>
    <dataField name="Increase 10%" fld="3" subtotal="average" baseField="0" baseItem="7"/>
  </dataFields>
  <formats count="19">
    <format dxfId="18">
      <pivotArea collapsedLevelsAreSubtotals="1" fieldPosition="0">
        <references count="1">
          <reference field="0" count="10">
            <x v="0"/>
            <x v="1"/>
            <x v="2"/>
            <x v="3"/>
            <x v="4"/>
            <x v="5"/>
            <x v="6"/>
            <x v="7"/>
            <x v="8"/>
            <x v="9"/>
          </reference>
        </references>
      </pivotArea>
    </format>
    <format dxfId="17">
      <pivotArea grandRow="1" outline="0" collapsedLevelsAreSubtotals="1" fieldPosition="0"/>
    </format>
    <format dxfId="16">
      <pivotArea type="all" dataOnly="0" outline="0" fieldPosition="0"/>
    </format>
    <format dxfId="15">
      <pivotArea type="all" dataOnly="0" outline="0" fieldPosition="0"/>
    </format>
    <format dxfId="14">
      <pivotArea field="1" type="button" dataOnly="0" labelOnly="1" outline="0" axis="axisPage" fieldPosition="0"/>
    </format>
    <format dxfId="13">
      <pivotArea dataOnly="0" labelOnly="1" outline="0" fieldPosition="0">
        <references count="1">
          <reference field="1" count="1">
            <x v="2"/>
          </reference>
        </references>
      </pivotArea>
    </format>
    <format dxfId="12">
      <pivotArea field="1" type="button" dataOnly="0" labelOnly="1" outline="0" axis="axisPage" fieldPosition="0"/>
    </format>
    <format dxfId="11">
      <pivotArea dataOnly="0" labelOnly="1" outline="0" fieldPosition="0">
        <references count="1">
          <reference field="1" count="1">
            <x v="2"/>
          </reference>
        </references>
      </pivotArea>
    </format>
    <format dxfId="10">
      <pivotArea field="1" type="button" dataOnly="0" labelOnly="1" outline="0" axis="axisPage" fieldPosition="0"/>
    </format>
    <format dxfId="9">
      <pivotArea dataOnly="0" labelOnly="1" outline="0" fieldPosition="0">
        <references count="1">
          <reference field="1" count="1">
            <x v="2"/>
          </reference>
        </references>
      </pivotArea>
    </format>
    <format dxfId="8">
      <pivotArea dataOnly="0" labelOnly="1" outline="0" fieldPosition="0">
        <references count="1">
          <reference field="1" count="1">
            <x v="1"/>
          </reference>
        </references>
      </pivotArea>
    </format>
    <format dxfId="7">
      <pivotArea dataOnly="0" labelOnly="1" outline="0" fieldPosition="0">
        <references count="1">
          <reference field="1" count="1">
            <x v="1"/>
          </reference>
        </references>
      </pivotArea>
    </format>
    <format dxfId="6">
      <pivotArea dataOnly="0" labelOnly="1" outline="0" fieldPosition="0">
        <references count="1">
          <reference field="1" count="1">
            <x v="1"/>
          </reference>
        </references>
      </pivotArea>
    </format>
    <format dxfId="5">
      <pivotArea dataOnly="0" labelOnly="1" outline="0" fieldPosition="0">
        <references count="1">
          <reference field="1" count="1">
            <x v="0"/>
          </reference>
        </references>
      </pivotArea>
    </format>
    <format dxfId="4">
      <pivotArea dataOnly="0" labelOnly="1" outline="0" fieldPosition="0">
        <references count="1">
          <reference field="1" count="1">
            <x v="0"/>
          </reference>
        </references>
      </pivotArea>
    </format>
    <format dxfId="3">
      <pivotArea dataOnly="0" labelOnly="1" outline="0" fieldPosition="0">
        <references count="1">
          <reference field="1" count="1">
            <x v="0"/>
          </reference>
        </references>
      </pivotArea>
    </format>
    <format dxfId="2">
      <pivotArea field="1" type="button" dataOnly="0" labelOnly="1" outline="0" axis="axisPage" fieldPosition="0"/>
    </format>
    <format dxfId="1">
      <pivotArea dataOnly="0" labelOnly="1" outline="0" fieldPosition="0">
        <references count="1">
          <reference field="1" count="1">
            <x v="0"/>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4" minRefreshableVersion="3" useAutoFormatting="1" rowGrandTotals="0" itemPrintTitles="1" createdVersion="4" indent="0" outline="1" outlineData="1" multipleFieldFilters="0" rowHeaderCaption="Sensitivities">
  <location ref="B9:D18" firstHeaderRow="0" firstDataRow="1" firstDataCol="1" rowPageCount="1" colPageCount="1"/>
  <pivotFields count="4">
    <pivotField axis="axisRow" showAll="0" sortType="descending">
      <items count="12">
        <item x="2"/>
        <item x="6"/>
        <item x="4"/>
        <item x="3"/>
        <item x="7"/>
        <item x="9"/>
        <item x="8"/>
        <item x="0"/>
        <item x="10"/>
        <item x="5"/>
        <item x="1"/>
        <item t="default"/>
      </items>
      <autoSortScope>
        <pivotArea dataOnly="0" outline="0" fieldPosition="0">
          <references count="1">
            <reference field="4294967294" count="1" selected="0">
              <x v="1"/>
            </reference>
          </references>
        </pivotArea>
      </autoSortScope>
    </pivotField>
    <pivotField axis="axisPage" showAll="0">
      <items count="5">
        <item x="2"/>
        <item x="1"/>
        <item x="0"/>
        <item x="3"/>
        <item t="default"/>
      </items>
    </pivotField>
    <pivotField dataField="1" showAll="0"/>
    <pivotField dataField="1" showAll="0"/>
  </pivotFields>
  <rowFields count="1">
    <field x="0"/>
  </rowFields>
  <rowItems count="9">
    <i>
      <x v="7"/>
    </i>
    <i>
      <x v="4"/>
    </i>
    <i>
      <x v="5"/>
    </i>
    <i>
      <x/>
    </i>
    <i>
      <x v="1"/>
    </i>
    <i>
      <x v="3"/>
    </i>
    <i>
      <x v="8"/>
    </i>
    <i>
      <x v="2"/>
    </i>
    <i>
      <x v="6"/>
    </i>
  </rowItems>
  <colFields count="1">
    <field x="-2"/>
  </colFields>
  <colItems count="2">
    <i>
      <x/>
    </i>
    <i i="1">
      <x v="1"/>
    </i>
  </colItems>
  <pageFields count="1">
    <pageField fld="1" item="2" hier="-1"/>
  </pageFields>
  <dataFields count="2">
    <dataField name="Decrease 10%" fld="2" subtotal="average" baseField="0" baseItem="7"/>
    <dataField name="Increase 10%" fld="3" subtotal="average" baseField="0" baseItem="7"/>
  </dataFields>
  <formats count="19">
    <format dxfId="37">
      <pivotArea outline="0" collapsedLevelsAreSubtotals="1" fieldPosition="0"/>
    </format>
    <format dxfId="36">
      <pivotArea type="all" dataOnly="0" outline="0" fieldPosition="0"/>
    </format>
    <format dxfId="35">
      <pivotArea type="all" dataOnly="0" outline="0" fieldPosition="0"/>
    </format>
    <format dxfId="34">
      <pivotArea field="1" type="button" dataOnly="0" labelOnly="1" outline="0" axis="axisPage" fieldPosition="0"/>
    </format>
    <format dxfId="33">
      <pivotArea dataOnly="0" labelOnly="1" outline="0" fieldPosition="0">
        <references count="1">
          <reference field="1" count="1">
            <x v="1"/>
          </reference>
        </references>
      </pivotArea>
    </format>
    <format dxfId="32">
      <pivotArea field="1" type="button" dataOnly="0" labelOnly="1" outline="0" axis="axisPage" fieldPosition="0"/>
    </format>
    <format dxfId="31">
      <pivotArea dataOnly="0" labelOnly="1" outline="0" fieldPosition="0">
        <references count="1">
          <reference field="1" count="1">
            <x v="1"/>
          </reference>
        </references>
      </pivotArea>
    </format>
    <format dxfId="30">
      <pivotArea field="1" type="button" dataOnly="0" labelOnly="1" outline="0" axis="axisPage" fieldPosition="0"/>
    </format>
    <format dxfId="29">
      <pivotArea dataOnly="0" labelOnly="1" outline="0" fieldPosition="0">
        <references count="1">
          <reference field="1" count="1">
            <x v="1"/>
          </reference>
        </references>
      </pivotArea>
    </format>
    <format dxfId="28">
      <pivotArea dataOnly="0" labelOnly="1" outline="0" fieldPosition="0">
        <references count="1">
          <reference field="1" count="1">
            <x v="2"/>
          </reference>
        </references>
      </pivotArea>
    </format>
    <format dxfId="27">
      <pivotArea dataOnly="0" labelOnly="1" outline="0" fieldPosition="0">
        <references count="1">
          <reference field="1" count="1">
            <x v="2"/>
          </reference>
        </references>
      </pivotArea>
    </format>
    <format dxfId="26">
      <pivotArea dataOnly="0" labelOnly="1" outline="0" fieldPosition="0">
        <references count="1">
          <reference field="1" count="1">
            <x v="0"/>
          </reference>
        </references>
      </pivotArea>
    </format>
    <format dxfId="25">
      <pivotArea dataOnly="0" labelOnly="1" outline="0" fieldPosition="0">
        <references count="1">
          <reference field="1" count="1">
            <x v="0"/>
          </reference>
        </references>
      </pivotArea>
    </format>
    <format dxfId="24">
      <pivotArea dataOnly="0" labelOnly="1" outline="0" fieldPosition="0">
        <references count="1">
          <reference field="1" count="1">
            <x v="0"/>
          </reference>
        </references>
      </pivotArea>
    </format>
    <format dxfId="23">
      <pivotArea dataOnly="0" labelOnly="1" outline="0" fieldPosition="0">
        <references count="1">
          <reference field="1" count="1">
            <x v="2"/>
          </reference>
        </references>
      </pivotArea>
    </format>
    <format dxfId="22">
      <pivotArea dataOnly="0" labelOnly="1" outline="0" fieldPosition="0">
        <references count="1">
          <reference field="1" count="1">
            <x v="2"/>
          </reference>
        </references>
      </pivotArea>
    </format>
    <format dxfId="21">
      <pivotArea field="1" type="button" dataOnly="0" labelOnly="1" outline="0" axis="axisPage" fieldPosition="0"/>
    </format>
    <format dxfId="20">
      <pivotArea dataOnly="0" labelOnly="1" outline="0" fieldPosition="0">
        <references count="1">
          <reference field="1" count="1">
            <x v="1"/>
          </reference>
        </references>
      </pivotArea>
    </format>
    <format dxfId="1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ctrlProp" Target="../ctrlProps/ctrlProp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codeName="Sheet6"/>
  <dimension ref="A2:T60"/>
  <sheetViews>
    <sheetView showGridLines="0" tabSelected="1" zoomScale="85" zoomScaleNormal="85" workbookViewId="0">
      <selection activeCell="I12" sqref="I12"/>
    </sheetView>
  </sheetViews>
  <sheetFormatPr defaultColWidth="9.140625" defaultRowHeight="15"/>
  <cols>
    <col min="1" max="2" width="9.140625" style="1"/>
    <col min="3" max="3" width="9.140625" style="2"/>
    <col min="4" max="5" width="15.7109375" style="1" customWidth="1"/>
    <col min="6" max="19" width="9.140625" style="1"/>
    <col min="20" max="20" width="9.140625" style="3"/>
    <col min="21" max="16384" width="9.140625" style="1"/>
  </cols>
  <sheetData>
    <row r="2" spans="2:20">
      <c r="B2" s="1" t="s">
        <v>0</v>
      </c>
      <c r="C2" s="1"/>
      <c r="D2" s="2" t="str">
        <f ca="1">MID(CELL("filename",A1),FIND("]",CELL("filename",A1))+1,256)</f>
        <v>Admin</v>
      </c>
    </row>
    <row r="3" spans="2:20">
      <c r="B3" s="1" t="s">
        <v>1</v>
      </c>
      <c r="C3" s="1"/>
      <c r="D3" s="1" t="s">
        <v>2</v>
      </c>
    </row>
    <row r="4" spans="2:20">
      <c r="B4" s="80" t="s">
        <v>700</v>
      </c>
    </row>
    <row r="5" spans="2:20" s="4" customFormat="1">
      <c r="T5" s="5"/>
    </row>
    <row r="7" spans="2:20">
      <c r="D7" s="1" t="s">
        <v>3</v>
      </c>
      <c r="E7" s="2" t="s">
        <v>645</v>
      </c>
    </row>
    <row r="9" spans="2:20">
      <c r="C9" s="1"/>
      <c r="D9" s="1" t="s">
        <v>5</v>
      </c>
      <c r="E9" s="2" t="str">
        <f ca="1">MID(CELL("filename",A1),FIND("[",CELL("filename",A1))+1,FIND("]",CELL("filename",A1))-FIND("[",CELL("filename",A1))-1)</f>
        <v>CSMG cost model.xlsm</v>
      </c>
    </row>
    <row r="10" spans="2:20">
      <c r="C10" s="1"/>
    </row>
    <row r="11" spans="2:20">
      <c r="C11" s="1"/>
      <c r="D11" s="1" t="s">
        <v>6</v>
      </c>
      <c r="E11" s="416" t="s">
        <v>676</v>
      </c>
    </row>
    <row r="12" spans="2:20">
      <c r="C12" s="1"/>
      <c r="D12" s="1" t="s">
        <v>7</v>
      </c>
      <c r="E12" s="6">
        <v>40934</v>
      </c>
    </row>
    <row r="13" spans="2:20">
      <c r="C13" s="1"/>
    </row>
    <row r="14" spans="2:20">
      <c r="C14" s="1"/>
      <c r="D14" s="1" t="s">
        <v>8</v>
      </c>
      <c r="E14" s="2" t="s">
        <v>9</v>
      </c>
    </row>
    <row r="15" spans="2:20">
      <c r="E15" s="7"/>
    </row>
    <row r="16" spans="2:20">
      <c r="E16" s="7"/>
    </row>
    <row r="18" spans="2:9" s="8" customFormat="1">
      <c r="B18" s="8" t="s">
        <v>10</v>
      </c>
    </row>
    <row r="20" spans="2:9">
      <c r="B20" s="9" t="s">
        <v>11</v>
      </c>
      <c r="D20" s="2" t="s">
        <v>12</v>
      </c>
    </row>
    <row r="21" spans="2:9" ht="13.5" customHeight="1">
      <c r="C21" s="1"/>
      <c r="G21" s="10"/>
      <c r="H21" s="10"/>
      <c r="I21" s="10"/>
    </row>
    <row r="22" spans="2:9">
      <c r="B22" s="70">
        <v>1234</v>
      </c>
      <c r="C22" s="69"/>
      <c r="D22" s="71" t="s">
        <v>13</v>
      </c>
      <c r="G22" s="10"/>
      <c r="H22" s="11"/>
      <c r="I22" s="10"/>
    </row>
    <row r="23" spans="2:9" ht="15.75" thickBot="1">
      <c r="B23" s="67"/>
      <c r="C23" s="71"/>
      <c r="D23" s="67"/>
      <c r="F23" s="12"/>
      <c r="G23" s="10"/>
      <c r="H23" s="10"/>
      <c r="I23" s="10"/>
    </row>
    <row r="24" spans="2:9" ht="15.75" thickBot="1">
      <c r="B24" s="72">
        <v>1234</v>
      </c>
      <c r="C24" s="69"/>
      <c r="D24" s="71" t="s">
        <v>121</v>
      </c>
      <c r="G24" s="13"/>
      <c r="H24" s="10"/>
      <c r="I24" s="10"/>
    </row>
    <row r="25" spans="2:9">
      <c r="B25" s="70"/>
      <c r="C25" s="69"/>
      <c r="D25" s="67"/>
      <c r="G25" s="10"/>
      <c r="H25" s="10"/>
      <c r="I25" s="13"/>
    </row>
    <row r="26" spans="2:9">
      <c r="B26" s="75">
        <v>1234</v>
      </c>
      <c r="C26" s="69"/>
      <c r="D26" s="71" t="s">
        <v>122</v>
      </c>
      <c r="G26" s="10"/>
      <c r="H26" s="10"/>
      <c r="I26" s="10"/>
    </row>
    <row r="27" spans="2:9">
      <c r="B27" s="70"/>
      <c r="C27" s="69"/>
      <c r="D27" s="67"/>
      <c r="G27" s="10"/>
      <c r="H27" s="10"/>
      <c r="I27" s="10"/>
    </row>
    <row r="28" spans="2:9">
      <c r="B28" s="76">
        <v>1234</v>
      </c>
      <c r="C28" s="69"/>
      <c r="D28" s="71" t="s">
        <v>123</v>
      </c>
    </row>
    <row r="29" spans="2:9">
      <c r="B29" s="70"/>
      <c r="C29" s="69"/>
      <c r="D29" s="67"/>
    </row>
    <row r="30" spans="2:9">
      <c r="B30" s="74">
        <v>1234</v>
      </c>
      <c r="C30" s="69"/>
      <c r="D30" s="71" t="s">
        <v>124</v>
      </c>
    </row>
    <row r="31" spans="2:9">
      <c r="B31" s="67"/>
      <c r="C31" s="71"/>
      <c r="D31" s="67"/>
    </row>
    <row r="32" spans="2:9">
      <c r="B32" s="77">
        <v>1234</v>
      </c>
      <c r="C32" s="71"/>
      <c r="D32" s="71" t="s">
        <v>14</v>
      </c>
    </row>
    <row r="33" spans="1:20">
      <c r="B33" s="68"/>
      <c r="C33" s="71"/>
      <c r="D33" s="67"/>
    </row>
    <row r="34" spans="1:20">
      <c r="B34" s="73">
        <v>1234</v>
      </c>
      <c r="C34" s="71"/>
      <c r="D34" s="71" t="s">
        <v>125</v>
      </c>
    </row>
    <row r="35" spans="1:20">
      <c r="B35" s="67"/>
      <c r="C35" s="71"/>
      <c r="D35" s="67"/>
    </row>
    <row r="36" spans="1:20">
      <c r="B36" s="451">
        <v>1234</v>
      </c>
      <c r="C36" s="71"/>
      <c r="D36" s="71" t="s">
        <v>686</v>
      </c>
    </row>
    <row r="37" spans="1:20">
      <c r="C37" s="1"/>
    </row>
    <row r="38" spans="1:20">
      <c r="C38" s="1"/>
    </row>
    <row r="39" spans="1:20" s="14" customFormat="1">
      <c r="B39" s="87" t="s">
        <v>693</v>
      </c>
      <c r="C39" s="4"/>
      <c r="T39" s="15"/>
    </row>
    <row r="40" spans="1:20">
      <c r="B40" s="455"/>
      <c r="C40" s="455"/>
      <c r="D40" s="455"/>
      <c r="E40" s="80"/>
      <c r="F40" s="80"/>
    </row>
    <row r="41" spans="1:20">
      <c r="A41" s="455"/>
      <c r="B41" s="455"/>
      <c r="C41" s="455"/>
      <c r="D41" s="455"/>
      <c r="E41" s="84"/>
      <c r="F41" s="80"/>
    </row>
    <row r="42" spans="1:20">
      <c r="A42" s="457" t="s">
        <v>694</v>
      </c>
      <c r="B42" s="455"/>
      <c r="C42" s="455"/>
      <c r="D42" s="455"/>
      <c r="E42" s="80"/>
      <c r="F42" s="80"/>
    </row>
    <row r="43" spans="1:20">
      <c r="A43" s="457"/>
      <c r="B43" s="455"/>
      <c r="C43" s="455"/>
      <c r="D43" s="455"/>
      <c r="E43" s="80"/>
      <c r="F43" s="80"/>
    </row>
    <row r="44" spans="1:20" ht="28.9" customHeight="1">
      <c r="A44" s="459" t="s">
        <v>698</v>
      </c>
      <c r="B44" s="459"/>
      <c r="C44" s="459"/>
      <c r="D44" s="459"/>
      <c r="E44" s="460"/>
      <c r="F44" s="460"/>
      <c r="G44" s="460"/>
    </row>
    <row r="45" spans="1:20">
      <c r="A45" s="458"/>
      <c r="B45" s="456"/>
      <c r="C45" s="456"/>
      <c r="D45" s="456"/>
      <c r="E45" s="80"/>
      <c r="F45" s="80"/>
    </row>
    <row r="46" spans="1:20" ht="90.6" customHeight="1">
      <c r="A46" s="459" t="s">
        <v>699</v>
      </c>
      <c r="B46" s="459"/>
      <c r="C46" s="459"/>
      <c r="D46" s="459"/>
      <c r="E46" s="460"/>
      <c r="F46" s="460"/>
      <c r="G46" s="460"/>
    </row>
    <row r="47" spans="1:20">
      <c r="A47" s="458"/>
      <c r="B47" s="456"/>
      <c r="C47" s="456"/>
      <c r="D47" s="456"/>
      <c r="E47" s="80"/>
      <c r="F47" s="80"/>
    </row>
    <row r="48" spans="1:20" ht="76.150000000000006" customHeight="1">
      <c r="A48" s="459" t="s">
        <v>695</v>
      </c>
      <c r="B48" s="459"/>
      <c r="C48" s="459"/>
      <c r="D48" s="459"/>
      <c r="E48" s="460"/>
      <c r="F48" s="460"/>
      <c r="G48" s="460"/>
    </row>
    <row r="49" spans="1:7">
      <c r="A49" s="458"/>
      <c r="B49" s="456"/>
      <c r="C49" s="456"/>
      <c r="D49" s="456"/>
      <c r="E49" s="80"/>
      <c r="F49" s="80"/>
    </row>
    <row r="50" spans="1:7" ht="81" customHeight="1">
      <c r="A50" s="459" t="s">
        <v>696</v>
      </c>
      <c r="B50" s="459"/>
      <c r="C50" s="459"/>
      <c r="D50" s="459"/>
      <c r="E50" s="460"/>
      <c r="F50" s="460"/>
      <c r="G50" s="460"/>
    </row>
    <row r="51" spans="1:7">
      <c r="A51" s="458"/>
      <c r="B51" s="456"/>
      <c r="C51" s="456"/>
      <c r="D51" s="456"/>
      <c r="E51" s="80"/>
      <c r="F51" s="80"/>
    </row>
    <row r="52" spans="1:7" ht="66" customHeight="1">
      <c r="A52" s="459" t="s">
        <v>697</v>
      </c>
      <c r="B52" s="459"/>
      <c r="C52" s="459"/>
      <c r="D52" s="459"/>
      <c r="E52" s="460"/>
      <c r="F52" s="460"/>
      <c r="G52" s="460"/>
    </row>
    <row r="53" spans="1:7">
      <c r="C53" s="1"/>
    </row>
    <row r="54" spans="1:7">
      <c r="C54" s="1"/>
    </row>
    <row r="55" spans="1:7">
      <c r="C55" s="1"/>
    </row>
    <row r="56" spans="1:7">
      <c r="C56" s="1"/>
    </row>
    <row r="57" spans="1:7">
      <c r="C57" s="1"/>
    </row>
    <row r="58" spans="1:7">
      <c r="C58" s="1"/>
    </row>
    <row r="59" spans="1:7">
      <c r="C59" s="1"/>
    </row>
    <row r="60" spans="1:7">
      <c r="C60" s="1"/>
    </row>
  </sheetData>
  <mergeCells count="5">
    <mergeCell ref="A44:G44"/>
    <mergeCell ref="A46:G46"/>
    <mergeCell ref="A48:G48"/>
    <mergeCell ref="A50:G50"/>
    <mergeCell ref="A52:G52"/>
  </mergeCells>
  <pageMargins left="0.75" right="0.75" top="1" bottom="1" header="0.5" footer="0.5"/>
  <pageSetup paperSize="9"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dimension ref="A2:R23"/>
  <sheetViews>
    <sheetView showGridLines="0" topLeftCell="A7" zoomScale="85" zoomScaleNormal="85" workbookViewId="0">
      <selection activeCell="O17" sqref="O17"/>
    </sheetView>
  </sheetViews>
  <sheetFormatPr defaultColWidth="9.140625" defaultRowHeight="12.75"/>
  <cols>
    <col min="1" max="3" width="9.140625" style="277"/>
    <col min="4" max="4" width="23" style="277" customWidth="1"/>
    <col min="5" max="5" width="15.7109375" style="277" customWidth="1"/>
    <col min="6" max="17" width="9.140625" style="277"/>
    <col min="18" max="18" width="50.7109375" style="278" customWidth="1"/>
    <col min="19" max="16384" width="9.140625" style="277"/>
  </cols>
  <sheetData>
    <row r="2" spans="2:18">
      <c r="B2" s="277" t="s">
        <v>0</v>
      </c>
      <c r="D2" s="257" t="str">
        <f ca="1">MID(CELL("filename",A1),FIND("]",CELL("filename",A1))+1,256)</f>
        <v>Model_Overview</v>
      </c>
      <c r="R2" s="277"/>
    </row>
    <row r="3" spans="2:18">
      <c r="B3" s="277" t="s">
        <v>1</v>
      </c>
      <c r="D3" s="277" t="s">
        <v>644</v>
      </c>
      <c r="R3" s="277"/>
    </row>
    <row r="5" spans="2:18" s="259" customFormat="1">
      <c r="R5" s="260"/>
    </row>
    <row r="6" spans="2:18">
      <c r="G6" s="349"/>
      <c r="H6" s="349"/>
      <c r="I6" s="349"/>
      <c r="J6" s="349"/>
      <c r="K6" s="349"/>
      <c r="L6" s="349"/>
      <c r="M6" s="349"/>
      <c r="N6" s="349"/>
      <c r="O6" s="349"/>
      <c r="P6" s="349"/>
      <c r="Q6" s="349"/>
      <c r="R6" s="348"/>
    </row>
    <row r="7" spans="2:18">
      <c r="B7" s="257"/>
    </row>
    <row r="8" spans="2:18">
      <c r="C8" s="257"/>
    </row>
    <row r="9" spans="2:18">
      <c r="C9" s="257"/>
      <c r="D9" s="257"/>
    </row>
    <row r="10" spans="2:18">
      <c r="C10" s="257"/>
      <c r="G10" s="232"/>
      <c r="H10" s="232"/>
      <c r="I10" s="232"/>
      <c r="J10" s="261"/>
      <c r="K10" s="261"/>
      <c r="L10" s="261"/>
      <c r="M10" s="261"/>
      <c r="N10" s="261"/>
      <c r="O10" s="261"/>
      <c r="P10" s="261"/>
    </row>
    <row r="11" spans="2:18">
      <c r="C11" s="257"/>
      <c r="G11" s="420"/>
      <c r="H11" s="261"/>
      <c r="I11" s="261"/>
      <c r="J11" s="261"/>
      <c r="K11" s="261"/>
      <c r="L11" s="261"/>
      <c r="M11" s="261"/>
      <c r="N11" s="261"/>
      <c r="O11" s="261"/>
      <c r="P11" s="261"/>
    </row>
    <row r="12" spans="2:18">
      <c r="C12" s="257"/>
      <c r="G12" s="261"/>
      <c r="H12" s="261"/>
      <c r="I12" s="261"/>
      <c r="J12" s="261"/>
      <c r="K12" s="261"/>
      <c r="L12" s="261"/>
      <c r="M12" s="261"/>
      <c r="N12" s="261"/>
      <c r="O12" s="261"/>
      <c r="P12" s="261"/>
    </row>
    <row r="13" spans="2:18">
      <c r="C13" s="257"/>
      <c r="D13" s="257"/>
      <c r="G13" s="261"/>
      <c r="H13" s="261"/>
      <c r="I13" s="261"/>
      <c r="J13" s="261"/>
      <c r="K13" s="261"/>
      <c r="L13" s="261"/>
      <c r="M13" s="261"/>
      <c r="N13" s="261"/>
      <c r="O13" s="261"/>
      <c r="P13" s="261"/>
    </row>
    <row r="14" spans="2:18">
      <c r="G14" s="262"/>
      <c r="H14" s="262"/>
      <c r="I14" s="262"/>
      <c r="J14" s="262"/>
      <c r="K14" s="262"/>
      <c r="L14" s="262"/>
      <c r="M14" s="262"/>
      <c r="N14" s="262"/>
      <c r="O14" s="262"/>
      <c r="P14" s="262"/>
      <c r="R14" s="263"/>
    </row>
    <row r="15" spans="2:18">
      <c r="G15" s="264"/>
      <c r="H15" s="264"/>
      <c r="I15" s="264"/>
      <c r="J15" s="264"/>
      <c r="K15" s="264"/>
      <c r="L15" s="264"/>
      <c r="M15" s="264"/>
      <c r="N15" s="264"/>
      <c r="O15" s="264"/>
      <c r="P15" s="264"/>
    </row>
    <row r="16" spans="2:18" s="265" customFormat="1">
      <c r="D16" s="277"/>
      <c r="E16" s="277"/>
      <c r="F16" s="277"/>
      <c r="G16" s="264"/>
      <c r="H16" s="264"/>
      <c r="I16" s="264"/>
      <c r="J16" s="264"/>
      <c r="K16" s="264"/>
      <c r="L16" s="264"/>
      <c r="M16" s="264"/>
      <c r="N16" s="264"/>
      <c r="O16" s="264"/>
      <c r="P16" s="264"/>
      <c r="Q16" s="277"/>
      <c r="R16" s="278"/>
    </row>
    <row r="17" spans="1:16">
      <c r="A17" s="347"/>
      <c r="B17" s="347"/>
      <c r="G17" s="266"/>
      <c r="H17" s="266"/>
      <c r="I17" s="266"/>
      <c r="J17" s="266"/>
      <c r="K17" s="266"/>
      <c r="L17" s="266"/>
      <c r="M17" s="266"/>
      <c r="N17" s="266"/>
      <c r="O17" s="266"/>
      <c r="P17" s="266"/>
    </row>
    <row r="18" spans="1:16">
      <c r="A18" s="347"/>
      <c r="B18" s="347"/>
      <c r="G18" s="267"/>
      <c r="H18" s="267"/>
      <c r="I18" s="267"/>
      <c r="J18" s="267"/>
      <c r="K18" s="267"/>
      <c r="L18" s="267"/>
      <c r="M18" s="267"/>
      <c r="N18" s="267"/>
      <c r="O18" s="267"/>
      <c r="P18" s="267"/>
    </row>
    <row r="19" spans="1:16">
      <c r="A19" s="347"/>
      <c r="B19" s="347"/>
      <c r="G19" s="268"/>
      <c r="H19" s="268"/>
      <c r="I19" s="268"/>
      <c r="J19" s="268"/>
      <c r="K19" s="268"/>
      <c r="L19" s="268"/>
      <c r="M19" s="268"/>
      <c r="N19" s="268"/>
      <c r="O19" s="268"/>
      <c r="P19" s="268"/>
    </row>
    <row r="23" spans="1:16">
      <c r="E23" s="419"/>
      <c r="F23" s="419"/>
      <c r="G23" s="419"/>
      <c r="H23" s="418"/>
      <c r="J23" s="417"/>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codeName="Sheet7">
    <tabColor rgb="FF002060"/>
  </sheetPr>
  <dimension ref="A2:R23"/>
  <sheetViews>
    <sheetView showGridLines="0" zoomScale="84" zoomScaleNormal="84" workbookViewId="0">
      <selection activeCell="C43" sqref="C43"/>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codeName="Sheet19"/>
  <dimension ref="A2:P356"/>
  <sheetViews>
    <sheetView showGridLines="0" zoomScale="85" zoomScaleNormal="85" workbookViewId="0">
      <selection activeCell="A8" sqref="A8"/>
    </sheetView>
  </sheetViews>
  <sheetFormatPr defaultColWidth="9.140625" defaultRowHeight="12.75"/>
  <cols>
    <col min="1" max="2" width="9.140625" style="277"/>
    <col min="3" max="3" width="9.140625" style="257"/>
    <col min="4" max="4" width="49.7109375" style="277" customWidth="1"/>
    <col min="5" max="5" width="15" style="247" bestFit="1" customWidth="1"/>
    <col min="6" max="6" width="16.140625" style="247" customWidth="1"/>
    <col min="7" max="7" width="14.5703125" style="247" customWidth="1"/>
    <col min="8" max="8" width="13.5703125" style="247" customWidth="1"/>
    <col min="9" max="9" width="14.28515625" style="247" customWidth="1"/>
    <col min="10" max="10" width="12.140625" style="247" customWidth="1"/>
    <col min="11" max="15" width="9.140625" style="277"/>
    <col min="16" max="16" width="50.7109375" style="278" customWidth="1"/>
    <col min="17" max="16384" width="9.140625" style="277"/>
  </cols>
  <sheetData>
    <row r="2" spans="1:16">
      <c r="B2" s="277" t="s">
        <v>0</v>
      </c>
      <c r="D2" s="257" t="str">
        <f ca="1">MID(CELL("filename",A1),FIND("]",CELL("filename",A1))+1,256)</f>
        <v>Graphs</v>
      </c>
      <c r="P2" s="277"/>
    </row>
    <row r="3" spans="1:16">
      <c r="B3" s="277" t="s">
        <v>1</v>
      </c>
      <c r="D3" s="277" t="s">
        <v>562</v>
      </c>
      <c r="P3" s="277"/>
    </row>
    <row r="4" spans="1:16">
      <c r="B4" s="277" t="s">
        <v>640</v>
      </c>
      <c r="D4" s="415" t="s">
        <v>639</v>
      </c>
    </row>
    <row r="5" spans="1:16" s="259" customFormat="1">
      <c r="E5" s="252"/>
      <c r="F5" s="252"/>
      <c r="G5" s="252"/>
      <c r="H5" s="252"/>
      <c r="I5" s="252"/>
      <c r="J5" s="252"/>
      <c r="P5" s="260"/>
    </row>
    <row r="6" spans="1:16">
      <c r="E6" s="329"/>
      <c r="F6" s="329"/>
      <c r="G6" s="329"/>
      <c r="H6" s="329"/>
      <c r="I6" s="329"/>
      <c r="J6" s="329"/>
      <c r="K6" s="289"/>
      <c r="L6" s="289"/>
      <c r="M6" s="289"/>
      <c r="N6" s="289"/>
      <c r="O6" s="289"/>
      <c r="P6" s="288"/>
    </row>
    <row r="7" spans="1:16">
      <c r="A7" s="415"/>
      <c r="B7" s="257"/>
      <c r="D7" s="257" t="s">
        <v>692</v>
      </c>
    </row>
    <row r="8" spans="1:16">
      <c r="E8" s="277"/>
      <c r="F8" s="277"/>
      <c r="G8" s="277"/>
    </row>
    <row r="9" spans="1:16">
      <c r="D9" s="412" t="s">
        <v>576</v>
      </c>
      <c r="E9" s="277"/>
      <c r="F9" s="277"/>
      <c r="G9" s="277"/>
    </row>
    <row r="10" spans="1:16">
      <c r="E10" s="277"/>
      <c r="F10" s="277"/>
      <c r="G10" s="277"/>
    </row>
    <row r="11" spans="1:16">
      <c r="C11" s="415" t="s">
        <v>677</v>
      </c>
    </row>
    <row r="12" spans="1:16">
      <c r="C12" s="429">
        <v>1</v>
      </c>
      <c r="D12" s="395" t="s">
        <v>577</v>
      </c>
      <c r="E12" s="396" t="s">
        <v>348</v>
      </c>
      <c r="F12" s="396" t="s">
        <v>649</v>
      </c>
      <c r="G12" s="396" t="s">
        <v>509</v>
      </c>
      <c r="H12" s="396" t="s">
        <v>650</v>
      </c>
      <c r="I12" s="396" t="s">
        <v>17</v>
      </c>
    </row>
    <row r="13" spans="1:16">
      <c r="D13" s="397" t="s">
        <v>466</v>
      </c>
      <c r="E13" s="333">
        <f ca="1">E112/1000000</f>
        <v>56</v>
      </c>
      <c r="F13" s="333">
        <f ca="1">F112/1000000</f>
        <v>103</v>
      </c>
      <c r="G13" s="333" t="s">
        <v>194</v>
      </c>
      <c r="H13" s="333" t="s">
        <v>194</v>
      </c>
      <c r="I13" s="333">
        <f ca="1">G112/1000000</f>
        <v>49</v>
      </c>
    </row>
    <row r="14" spans="1:16">
      <c r="D14" s="397" t="s">
        <v>467</v>
      </c>
      <c r="E14" s="333">
        <f>E158/1000000</f>
        <v>57</v>
      </c>
      <c r="F14" s="333">
        <f>F158/1000000</f>
        <v>81</v>
      </c>
      <c r="G14" s="333">
        <f t="shared" ref="G14:H14" si="0">G158/1000000</f>
        <v>65</v>
      </c>
      <c r="H14" s="333">
        <f t="shared" si="0"/>
        <v>33</v>
      </c>
      <c r="I14" s="333">
        <f>I158/1000000</f>
        <v>43</v>
      </c>
    </row>
    <row r="15" spans="1:16">
      <c r="D15" s="397" t="s">
        <v>468</v>
      </c>
      <c r="E15" s="333">
        <f ca="1">E113/1000000</f>
        <v>73</v>
      </c>
      <c r="F15" s="333">
        <f ca="1">F113/1000000</f>
        <v>156</v>
      </c>
      <c r="G15" s="333" t="s">
        <v>194</v>
      </c>
      <c r="H15" s="333" t="s">
        <v>194</v>
      </c>
      <c r="I15" s="333">
        <f ca="1">G113/1000000</f>
        <v>66</v>
      </c>
    </row>
    <row r="16" spans="1:16">
      <c r="D16" s="397" t="s">
        <v>469</v>
      </c>
      <c r="E16" s="333">
        <f>E159/1000000</f>
        <v>81</v>
      </c>
      <c r="F16" s="333">
        <f>F159/1000000</f>
        <v>128</v>
      </c>
      <c r="G16" s="333">
        <f>G159/1000000</f>
        <v>98</v>
      </c>
      <c r="H16" s="333">
        <f>H159/1000000</f>
        <v>41</v>
      </c>
      <c r="I16" s="333">
        <f>I159/1000000</f>
        <v>65</v>
      </c>
    </row>
    <row r="17" spans="3:9">
      <c r="E17" s="351"/>
      <c r="F17" s="351"/>
      <c r="G17" s="352"/>
      <c r="H17" s="351"/>
    </row>
    <row r="18" spans="3:9">
      <c r="C18" s="429">
        <v>2</v>
      </c>
      <c r="D18" s="395" t="s">
        <v>577</v>
      </c>
      <c r="E18" s="396" t="s">
        <v>348</v>
      </c>
      <c r="F18" s="396" t="s">
        <v>649</v>
      </c>
      <c r="G18" s="396" t="s">
        <v>509</v>
      </c>
      <c r="H18" s="396" t="s">
        <v>650</v>
      </c>
      <c r="I18" s="396" t="s">
        <v>17</v>
      </c>
    </row>
    <row r="19" spans="3:9">
      <c r="D19" s="397" t="s">
        <v>468</v>
      </c>
      <c r="E19" s="354">
        <f ca="1">E15/10</f>
        <v>7.3</v>
      </c>
      <c r="F19" s="354">
        <f ca="1">F15/10</f>
        <v>15.6</v>
      </c>
      <c r="G19" s="354" t="s">
        <v>194</v>
      </c>
      <c r="H19" s="354" t="s">
        <v>194</v>
      </c>
      <c r="I19" s="354">
        <f ca="1">I15/10</f>
        <v>6.6</v>
      </c>
    </row>
    <row r="20" spans="3:9">
      <c r="D20" s="397" t="s">
        <v>469</v>
      </c>
      <c r="E20" s="354">
        <f>E16/10</f>
        <v>8.1</v>
      </c>
      <c r="F20" s="354">
        <f>F16/10</f>
        <v>12.8</v>
      </c>
      <c r="G20" s="354">
        <f t="shared" ref="G20:H20" si="1">G16/10</f>
        <v>9.8000000000000007</v>
      </c>
      <c r="H20" s="354">
        <f t="shared" si="1"/>
        <v>4.0999999999999996</v>
      </c>
      <c r="I20" s="354">
        <f>I16/10</f>
        <v>6.5</v>
      </c>
    </row>
    <row r="21" spans="3:9">
      <c r="D21" s="183"/>
      <c r="E21" s="432"/>
      <c r="F21" s="432"/>
      <c r="G21" s="432"/>
      <c r="H21" s="432"/>
      <c r="I21" s="432"/>
    </row>
    <row r="22" spans="3:9">
      <c r="C22" s="429">
        <v>3</v>
      </c>
      <c r="D22" s="392" t="s">
        <v>579</v>
      </c>
      <c r="E22" s="393" t="s">
        <v>348</v>
      </c>
      <c r="F22" s="396" t="s">
        <v>649</v>
      </c>
      <c r="G22" s="396" t="s">
        <v>509</v>
      </c>
      <c r="H22" s="396" t="s">
        <v>650</v>
      </c>
      <c r="I22" s="396" t="s">
        <v>17</v>
      </c>
    </row>
    <row r="23" spans="3:9">
      <c r="D23" s="397" t="s">
        <v>505</v>
      </c>
      <c r="E23" s="364">
        <f>E103/1000000</f>
        <v>35.240968493274558</v>
      </c>
      <c r="F23" s="405">
        <f>F103/1000000</f>
        <v>38.84643794474794</v>
      </c>
      <c r="G23" s="405" t="s">
        <v>194</v>
      </c>
      <c r="H23" s="405" t="s">
        <v>194</v>
      </c>
      <c r="I23" s="405">
        <f>G103/1000000</f>
        <v>27.501472402289465</v>
      </c>
    </row>
    <row r="24" spans="3:9">
      <c r="D24" s="397" t="s">
        <v>506</v>
      </c>
      <c r="E24" s="364">
        <f ca="1">E109/1000000</f>
        <v>4.5206882138400752</v>
      </c>
      <c r="F24" s="364">
        <f ca="1">F109/1000000</f>
        <v>14.229150285190277</v>
      </c>
      <c r="G24" s="405" t="s">
        <v>194</v>
      </c>
      <c r="H24" s="405" t="s">
        <v>194</v>
      </c>
      <c r="I24" s="364">
        <f ca="1">G109/1000000</f>
        <v>4.7158359151163625</v>
      </c>
    </row>
    <row r="25" spans="3:9">
      <c r="D25" s="397" t="s">
        <v>507</v>
      </c>
      <c r="E25" s="364">
        <f>E149/1000000</f>
        <v>28.05</v>
      </c>
      <c r="F25" s="364">
        <f>F149/1000000</f>
        <v>25.623000000000001</v>
      </c>
      <c r="G25" s="364">
        <f>G149/1000000</f>
        <v>25.623000000000001</v>
      </c>
      <c r="H25" s="364">
        <f>H149/1000000</f>
        <v>23.795500000000001</v>
      </c>
      <c r="I25" s="364">
        <f>I149/1000000</f>
        <v>17.504249999999999</v>
      </c>
    </row>
    <row r="26" spans="3:9">
      <c r="D26" s="397" t="s">
        <v>508</v>
      </c>
      <c r="E26" s="364">
        <f>E154/1000000</f>
        <v>6.3836695755362651</v>
      </c>
      <c r="F26" s="364">
        <f>F154/1000000</f>
        <v>12.400017039169205</v>
      </c>
      <c r="G26" s="364">
        <f>G154/1000000</f>
        <v>8.7023323153072596</v>
      </c>
      <c r="H26" s="364">
        <f>H154/1000000</f>
        <v>2.1024653854542152</v>
      </c>
      <c r="I26" s="364">
        <f>I154/1000000</f>
        <v>5.7719723115760564</v>
      </c>
    </row>
    <row r="28" spans="3:9">
      <c r="C28" s="429">
        <v>4</v>
      </c>
      <c r="D28" s="395" t="s">
        <v>605</v>
      </c>
      <c r="E28" s="396" t="s">
        <v>348</v>
      </c>
      <c r="F28" s="396" t="s">
        <v>649</v>
      </c>
      <c r="G28" s="396" t="s">
        <v>509</v>
      </c>
      <c r="H28" s="396" t="s">
        <v>650</v>
      </c>
      <c r="I28" s="396" t="s">
        <v>17</v>
      </c>
    </row>
    <row r="29" spans="3:9">
      <c r="D29" s="397" t="s">
        <v>415</v>
      </c>
      <c r="E29" s="362">
        <f ca="1">(E15/'Independent Mkt Size Inputs '!$F$71)*1000000/10</f>
        <v>0.37564966809036171</v>
      </c>
      <c r="F29" s="362">
        <f ca="1">(F15/'Independent Mkt Size Inputs '!$F$71)*1000000/10</f>
        <v>0.80275819482323885</v>
      </c>
      <c r="G29" s="362" t="s">
        <v>194</v>
      </c>
      <c r="H29" s="362" t="s">
        <v>194</v>
      </c>
      <c r="I29" s="362">
        <f ca="1">(I15/'Independent Mkt Size Inputs '!$F$71)*1000000/10</f>
        <v>0.33962846704060101</v>
      </c>
    </row>
    <row r="30" spans="3:9">
      <c r="D30" s="397" t="s">
        <v>416</v>
      </c>
      <c r="E30" s="362">
        <f>(E16/'Independent Mkt Size Inputs '!$F$71)*1000000/10</f>
        <v>0.4168167550043741</v>
      </c>
      <c r="F30" s="362">
        <f>(F16/'Independent Mkt Size Inputs '!$F$71)*1000000/10</f>
        <v>0.65867339062419594</v>
      </c>
      <c r="G30" s="362">
        <f>(G16/'Independent Mkt Size Inputs '!$F$71)*1000000/10</f>
        <v>0.50429681469665</v>
      </c>
      <c r="H30" s="362">
        <f>(H16/'Independent Mkt Size Inputs '!$F$71)*1000000/10</f>
        <v>0.21098132043431278</v>
      </c>
      <c r="I30" s="362">
        <f>(I16/'Independent Mkt Size Inputs '!$F$71)*1000000/10</f>
        <v>0.33448258117634955</v>
      </c>
    </row>
    <row r="32" spans="3:9">
      <c r="C32" s="429">
        <v>5</v>
      </c>
      <c r="D32" s="395" t="s">
        <v>578</v>
      </c>
      <c r="E32" s="396" t="s">
        <v>348</v>
      </c>
      <c r="F32" s="396" t="s">
        <v>649</v>
      </c>
      <c r="G32" s="396" t="s">
        <v>509</v>
      </c>
      <c r="H32" s="396" t="s">
        <v>650</v>
      </c>
      <c r="I32" s="396" t="s">
        <v>17</v>
      </c>
    </row>
    <row r="33" spans="3:11">
      <c r="D33" s="397" t="s">
        <v>604</v>
      </c>
      <c r="E33" s="398">
        <v>260</v>
      </c>
      <c r="F33" s="333"/>
      <c r="G33" s="333"/>
      <c r="H33" s="333"/>
      <c r="I33" s="333"/>
    </row>
    <row r="34" spans="3:11">
      <c r="D34" s="397" t="s">
        <v>470</v>
      </c>
      <c r="E34" s="363">
        <f ca="1">E29/$E$33</f>
        <v>1.4448064157321604E-3</v>
      </c>
      <c r="F34" s="363">
        <f ca="1">F29/$E$33</f>
        <v>3.0875315185509185E-3</v>
      </c>
      <c r="G34" s="363" t="s">
        <v>194</v>
      </c>
      <c r="H34" s="363" t="s">
        <v>194</v>
      </c>
      <c r="I34" s="363">
        <f ca="1">I29/$E$33</f>
        <v>1.3062633347715423E-3</v>
      </c>
    </row>
    <row r="35" spans="3:11">
      <c r="D35" s="397" t="s">
        <v>471</v>
      </c>
      <c r="E35" s="363">
        <f>E30/$E$33</f>
        <v>1.6031413654014389E-3</v>
      </c>
      <c r="F35" s="363">
        <f>F30/$E$33</f>
        <v>2.5333591947084458E-3</v>
      </c>
      <c r="G35" s="363">
        <f t="shared" ref="G35:I35" si="2">G30/$E$33</f>
        <v>1.9396031334486539E-3</v>
      </c>
      <c r="H35" s="363">
        <f t="shared" si="2"/>
        <v>8.1146661705504915E-4</v>
      </c>
      <c r="I35" s="363">
        <f t="shared" si="2"/>
        <v>1.2864714660628829E-3</v>
      </c>
    </row>
    <row r="37" spans="3:11">
      <c r="C37" s="429">
        <v>10</v>
      </c>
      <c r="D37" s="395" t="s">
        <v>580</v>
      </c>
      <c r="E37" s="399" t="s">
        <v>457</v>
      </c>
      <c r="F37" s="399" t="s">
        <v>458</v>
      </c>
      <c r="G37" s="399" t="s">
        <v>459</v>
      </c>
      <c r="H37" s="399" t="s">
        <v>460</v>
      </c>
      <c r="I37" s="399" t="s">
        <v>461</v>
      </c>
    </row>
    <row r="38" spans="3:11">
      <c r="D38" s="397" t="s">
        <v>15</v>
      </c>
      <c r="E38" s="365">
        <v>1</v>
      </c>
      <c r="F38" s="365">
        <v>1</v>
      </c>
      <c r="G38" s="365">
        <v>1</v>
      </c>
      <c r="H38" s="365">
        <v>1</v>
      </c>
      <c r="I38" s="365">
        <v>1</v>
      </c>
    </row>
    <row r="39" spans="3:11">
      <c r="D39" s="397" t="s">
        <v>16</v>
      </c>
      <c r="E39" s="365">
        <v>1.0144640560809299</v>
      </c>
      <c r="F39" s="365">
        <v>1.0712686858717333</v>
      </c>
      <c r="G39" s="365">
        <v>1.0934579439252337</v>
      </c>
      <c r="H39" s="365">
        <v>0.82996811902231671</v>
      </c>
      <c r="I39" s="365">
        <v>2.2223637650389243</v>
      </c>
    </row>
    <row r="40" spans="3:11">
      <c r="D40" s="397" t="s">
        <v>17</v>
      </c>
      <c r="E40" s="365">
        <v>0.30487180362568705</v>
      </c>
      <c r="F40" s="365">
        <v>0.45863919560792055</v>
      </c>
      <c r="G40" s="365">
        <v>0.71962616822429903</v>
      </c>
      <c r="H40" s="365">
        <v>2.198401506366094</v>
      </c>
      <c r="I40" s="365">
        <v>1</v>
      </c>
    </row>
    <row r="42" spans="3:11">
      <c r="C42" s="429">
        <v>11</v>
      </c>
      <c r="D42" s="395" t="s">
        <v>581</v>
      </c>
      <c r="E42" s="399" t="s">
        <v>457</v>
      </c>
      <c r="F42" s="399" t="s">
        <v>458</v>
      </c>
      <c r="G42" s="399" t="s">
        <v>459</v>
      </c>
      <c r="H42" s="399" t="s">
        <v>460</v>
      </c>
      <c r="I42" s="399" t="s">
        <v>461</v>
      </c>
    </row>
    <row r="43" spans="3:11">
      <c r="D43" s="397" t="s">
        <v>15</v>
      </c>
      <c r="E43" s="365">
        <v>1</v>
      </c>
      <c r="F43" s="365">
        <v>1</v>
      </c>
      <c r="G43" s="365">
        <v>1</v>
      </c>
      <c r="H43" s="365">
        <v>1</v>
      </c>
      <c r="I43" s="365">
        <v>1</v>
      </c>
    </row>
    <row r="44" spans="3:11">
      <c r="D44" s="397" t="s">
        <v>16</v>
      </c>
      <c r="E44" s="365">
        <v>2.8050234142188164</v>
      </c>
      <c r="F44" s="365">
        <v>1.7256410256410257</v>
      </c>
      <c r="G44" s="365">
        <v>1.5470866141732282</v>
      </c>
      <c r="H44" s="365"/>
      <c r="I44" s="365"/>
    </row>
    <row r="45" spans="3:11">
      <c r="D45" s="397" t="s">
        <v>17</v>
      </c>
      <c r="E45" s="365">
        <v>0.879948914431673</v>
      </c>
      <c r="F45" s="365">
        <v>0</v>
      </c>
      <c r="G45" s="365">
        <v>0.76377952755905509</v>
      </c>
      <c r="H45" s="365"/>
      <c r="I45" s="365"/>
    </row>
    <row r="47" spans="3:11">
      <c r="C47" s="429">
        <v>12</v>
      </c>
      <c r="D47" s="395" t="s">
        <v>582</v>
      </c>
      <c r="E47" s="399" t="s">
        <v>457</v>
      </c>
      <c r="F47" s="399" t="s">
        <v>458</v>
      </c>
      <c r="G47" s="399" t="s">
        <v>459</v>
      </c>
      <c r="H47" s="399" t="s">
        <v>460</v>
      </c>
      <c r="I47" s="399" t="s">
        <v>461</v>
      </c>
    </row>
    <row r="48" spans="3:11">
      <c r="D48" s="397" t="s">
        <v>15</v>
      </c>
      <c r="E48" s="450">
        <v>0.75105128205128202</v>
      </c>
      <c r="F48" s="450">
        <v>1.390499156402492</v>
      </c>
      <c r="G48" s="450">
        <v>0.80451127819548873</v>
      </c>
      <c r="H48" s="450">
        <v>1.0101346938775511</v>
      </c>
      <c r="I48" s="450">
        <v>2.3380878313532119</v>
      </c>
      <c r="J48" s="295"/>
      <c r="K48" s="277" t="s">
        <v>685</v>
      </c>
    </row>
    <row r="49" spans="3:11">
      <c r="D49" s="397" t="s">
        <v>16</v>
      </c>
      <c r="E49" s="450">
        <v>0.7619145299145299</v>
      </c>
      <c r="F49" s="450">
        <v>1.4895982039850511</v>
      </c>
      <c r="G49" s="450">
        <v>0.87969924812030076</v>
      </c>
      <c r="H49" s="450">
        <v>0.83837959183673472</v>
      </c>
      <c r="I49" s="450">
        <v>5.1960816758778172</v>
      </c>
      <c r="K49" s="277" t="s">
        <v>685</v>
      </c>
    </row>
    <row r="50" spans="3:11">
      <c r="D50" s="397" t="s">
        <v>17</v>
      </c>
      <c r="E50" s="450">
        <v>0.22897435897435897</v>
      </c>
      <c r="F50" s="450">
        <v>0.63773741458593103</v>
      </c>
      <c r="G50" s="450">
        <v>0.57894736842105265</v>
      </c>
      <c r="H50" s="450">
        <v>2.2206816326530614</v>
      </c>
      <c r="I50" s="450">
        <v>2.3380878313532119</v>
      </c>
      <c r="K50" s="277" t="s">
        <v>685</v>
      </c>
    </row>
    <row r="52" spans="3:11">
      <c r="C52" s="429">
        <v>13</v>
      </c>
      <c r="D52" s="392" t="s">
        <v>583</v>
      </c>
      <c r="E52" s="394" t="s">
        <v>457</v>
      </c>
      <c r="F52" s="394" t="s">
        <v>458</v>
      </c>
      <c r="G52" s="394" t="s">
        <v>459</v>
      </c>
      <c r="H52" s="394" t="s">
        <v>460</v>
      </c>
      <c r="I52" s="394" t="s">
        <v>461</v>
      </c>
      <c r="J52" s="295"/>
    </row>
    <row r="53" spans="3:11">
      <c r="D53" s="397" t="s">
        <v>15</v>
      </c>
      <c r="E53" s="450">
        <v>0.20076923076923076</v>
      </c>
      <c r="F53" s="450">
        <v>5.5753775316860141E-2</v>
      </c>
      <c r="G53" s="450">
        <v>0.19097744360902255</v>
      </c>
      <c r="H53" s="450">
        <v>0</v>
      </c>
      <c r="I53" s="450">
        <v>0</v>
      </c>
      <c r="J53" s="295"/>
      <c r="K53" s="277" t="s">
        <v>685</v>
      </c>
    </row>
    <row r="54" spans="3:11">
      <c r="D54" s="397" t="s">
        <v>16</v>
      </c>
      <c r="E54" s="450">
        <v>0.56316239316239314</v>
      </c>
      <c r="F54" s="450">
        <v>9.6211002021145839E-2</v>
      </c>
      <c r="G54" s="450">
        <v>0.29545864661654136</v>
      </c>
      <c r="H54" s="450">
        <v>0</v>
      </c>
      <c r="I54" s="450">
        <v>0</v>
      </c>
      <c r="J54" s="295"/>
      <c r="K54" s="277" t="s">
        <v>685</v>
      </c>
    </row>
    <row r="55" spans="3:11">
      <c r="D55" s="397" t="s">
        <v>17</v>
      </c>
      <c r="E55" s="450">
        <v>0.17666666666666667</v>
      </c>
      <c r="F55" s="450">
        <v>0</v>
      </c>
      <c r="G55" s="450">
        <v>8.4210526315789472E-2</v>
      </c>
      <c r="H55" s="450">
        <v>3.869387755102041</v>
      </c>
      <c r="I55" s="450">
        <v>0</v>
      </c>
      <c r="J55" s="295"/>
      <c r="K55" s="277" t="s">
        <v>685</v>
      </c>
    </row>
    <row r="57" spans="3:11">
      <c r="C57" s="429">
        <v>14</v>
      </c>
      <c r="D57" s="395" t="s">
        <v>584</v>
      </c>
      <c r="E57" s="399" t="s">
        <v>15</v>
      </c>
      <c r="F57" s="399" t="s">
        <v>16</v>
      </c>
      <c r="G57" s="399" t="s">
        <v>17</v>
      </c>
    </row>
    <row r="58" spans="3:11">
      <c r="D58" s="400" t="s">
        <v>349</v>
      </c>
      <c r="E58" s="401">
        <f>'Industry Cost Inputs - Original'!M297</f>
        <v>0.36090959077842638</v>
      </c>
      <c r="F58" s="401">
        <f>'Industry Cost Inputs - Original'!M312</f>
        <v>0.44826700712048428</v>
      </c>
      <c r="G58" s="401">
        <f>'Industry Cost Inputs - Original'!M327</f>
        <v>0.42068173336691916</v>
      </c>
    </row>
    <row r="59" spans="3:11">
      <c r="D59" s="400" t="s">
        <v>350</v>
      </c>
      <c r="E59" s="401">
        <f>'Industry Cost Inputs - Original'!M298</f>
        <v>0.11884148279914851</v>
      </c>
      <c r="F59" s="401">
        <f>'Industry Cost Inputs - Original'!M313</f>
        <v>0.15210164146221483</v>
      </c>
      <c r="G59" s="401">
        <f>'Industry Cost Inputs - Original'!M328</f>
        <v>0.20247265623862798</v>
      </c>
    </row>
    <row r="60" spans="3:11">
      <c r="D60" s="400" t="s">
        <v>351</v>
      </c>
      <c r="E60" s="401">
        <f>'Industry Cost Inputs - Original'!M299</f>
        <v>0.13004216746174926</v>
      </c>
      <c r="F60" s="401">
        <f>'Industry Cost Inputs - Original'!M314</f>
        <v>0.15969005320585908</v>
      </c>
      <c r="G60" s="401">
        <f>'Industry Cost Inputs - Original'!M329</f>
        <v>0.25276567189815341</v>
      </c>
    </row>
    <row r="61" spans="3:11">
      <c r="D61" s="400" t="s">
        <v>354</v>
      </c>
      <c r="E61" s="401">
        <f>'Industry Cost Inputs - Original'!M300</f>
        <v>0.14259478627485417</v>
      </c>
      <c r="F61" s="401">
        <f>'Industry Cost Inputs - Original'!M315</f>
        <v>6.759687972613132E-2</v>
      </c>
      <c r="G61" s="401">
        <f>'Industry Cost Inputs - Original'!M330</f>
        <v>4.1571687671216925E-2</v>
      </c>
    </row>
    <row r="62" spans="3:11">
      <c r="D62" s="400" t="s">
        <v>227</v>
      </c>
      <c r="E62" s="401">
        <f>'Industry Cost Inputs - Original'!M301</f>
        <v>0.24761197268582169</v>
      </c>
      <c r="F62" s="401">
        <f>'Industry Cost Inputs - Original'!M316</f>
        <v>0.17234441848531051</v>
      </c>
      <c r="G62" s="401">
        <f>'Industry Cost Inputs - Original'!M331</f>
        <v>8.2508250825082508E-2</v>
      </c>
    </row>
    <row r="63" spans="3:11" ht="15">
      <c r="D63" s="180"/>
      <c r="G63" s="284"/>
    </row>
    <row r="64" spans="3:11">
      <c r="C64" s="429">
        <v>14</v>
      </c>
      <c r="D64" s="395" t="s">
        <v>585</v>
      </c>
      <c r="E64" s="399" t="s">
        <v>15</v>
      </c>
      <c r="F64" s="399" t="s">
        <v>16</v>
      </c>
      <c r="G64" s="399" t="s">
        <v>17</v>
      </c>
    </row>
    <row r="65" spans="3:12">
      <c r="D65" s="400" t="s">
        <v>349</v>
      </c>
      <c r="E65" s="401">
        <f>'Industry Cost Inputs - Original'!M304</f>
        <v>0.58398950131233596</v>
      </c>
      <c r="F65" s="401">
        <f>'Industry Cost Inputs - Original'!M319</f>
        <v>0.38739257892851786</v>
      </c>
      <c r="G65" s="401">
        <f>'Industry Cost Inputs - Original'!M334</f>
        <v>0.5756013745704468</v>
      </c>
    </row>
    <row r="66" spans="3:12">
      <c r="D66" s="400" t="s">
        <v>350</v>
      </c>
      <c r="E66" s="401">
        <f>'Industry Cost Inputs - Original'!M305</f>
        <v>0.16916010498687664</v>
      </c>
      <c r="F66" s="401">
        <f>'Industry Cost Inputs - Original'!M320</f>
        <v>0.23695391944281766</v>
      </c>
      <c r="G66" s="401">
        <f>'Industry Cost Inputs - Original'!M335</f>
        <v>0.15206185567010308</v>
      </c>
    </row>
    <row r="67" spans="3:12">
      <c r="D67" s="400" t="s">
        <v>351</v>
      </c>
      <c r="E67" s="401">
        <f>'Industry Cost Inputs - Original'!M306</f>
        <v>0.15498687664041996</v>
      </c>
      <c r="F67" s="401">
        <f>'Industry Cost Inputs - Original'!M321</f>
        <v>6.8395765472312714E-2</v>
      </c>
      <c r="G67" s="401">
        <f>'Industry Cost Inputs - Original'!M336</f>
        <v>0.22079037800687284</v>
      </c>
    </row>
    <row r="68" spans="3:12">
      <c r="D68" s="400" t="s">
        <v>354</v>
      </c>
      <c r="E68" s="401">
        <f>'Industry Cost Inputs - Original'!M307</f>
        <v>3.937007874015748E-2</v>
      </c>
      <c r="F68" s="401">
        <f>'Industry Cost Inputs - Original'!M322</f>
        <v>1.9085912052117265E-2</v>
      </c>
      <c r="G68" s="401">
        <f>'Industry Cost Inputs - Original'!M337</f>
        <v>5.1546391752577324E-2</v>
      </c>
    </row>
    <row r="69" spans="3:12">
      <c r="D69" s="400" t="s">
        <v>227</v>
      </c>
      <c r="E69" s="401">
        <f>'Industry Cost Inputs - Original'!M308</f>
        <v>5.2493438320209973E-2</v>
      </c>
      <c r="F69" s="401">
        <f>'Industry Cost Inputs - Original'!M323</f>
        <v>3.8171824104234531E-2</v>
      </c>
      <c r="G69" s="401">
        <f>'Industry Cost Inputs - Original'!M338</f>
        <v>0</v>
      </c>
    </row>
    <row r="71" spans="3:12">
      <c r="C71" s="429">
        <v>15</v>
      </c>
      <c r="D71" s="395" t="s">
        <v>586</v>
      </c>
      <c r="E71" s="399" t="s">
        <v>457</v>
      </c>
      <c r="F71" s="399" t="s">
        <v>458</v>
      </c>
      <c r="G71" s="399" t="s">
        <v>459</v>
      </c>
      <c r="H71" s="399" t="s">
        <v>460</v>
      </c>
      <c r="I71" s="399" t="s">
        <v>461</v>
      </c>
      <c r="J71" s="399" t="s">
        <v>472</v>
      </c>
      <c r="K71" s="427"/>
      <c r="L71" s="427"/>
    </row>
    <row r="72" spans="3:12">
      <c r="D72" s="400" t="s">
        <v>15</v>
      </c>
      <c r="E72" s="364">
        <f>'Industry Cost Inputs - Original'!G8</f>
        <v>18</v>
      </c>
      <c r="F72" s="364">
        <f>'Industry Cost Inputs - Original'!H8</f>
        <v>15</v>
      </c>
      <c r="G72" s="364">
        <f>'Industry Cost Inputs - Original'!I8</f>
        <v>7.5</v>
      </c>
      <c r="H72" s="364">
        <f>'Industry Cost Inputs - Original'!J8</f>
        <v>15</v>
      </c>
      <c r="I72" s="364">
        <f>'Industry Cost Inputs - Original'!K8</f>
        <v>10</v>
      </c>
      <c r="J72" s="364">
        <f>AVERAGE(E72:I72)</f>
        <v>13.1</v>
      </c>
      <c r="K72" s="427"/>
      <c r="L72" s="427"/>
    </row>
    <row r="73" spans="3:12">
      <c r="D73" s="400" t="s">
        <v>16</v>
      </c>
      <c r="E73" s="364">
        <f>'Industry Cost Inputs - Original'!G9</f>
        <v>18</v>
      </c>
      <c r="F73" s="364">
        <f>'Industry Cost Inputs - Original'!H9</f>
        <v>15</v>
      </c>
      <c r="G73" s="364">
        <f>'Industry Cost Inputs - Original'!I9</f>
        <v>7.5</v>
      </c>
      <c r="H73" s="364">
        <f>'Industry Cost Inputs - Original'!J9</f>
        <v>15</v>
      </c>
      <c r="I73" s="364">
        <f>'Industry Cost Inputs - Original'!K9</f>
        <v>24</v>
      </c>
      <c r="J73" s="364">
        <f>AVERAGE(E73:I73)</f>
        <v>15.9</v>
      </c>
      <c r="K73" s="427"/>
      <c r="L73" s="427"/>
    </row>
    <row r="74" spans="3:12">
      <c r="D74" s="400" t="s">
        <v>17</v>
      </c>
      <c r="E74" s="364">
        <f>'Industry Cost Inputs - Original'!G10</f>
        <v>18</v>
      </c>
      <c r="F74" s="364">
        <f>'Industry Cost Inputs - Original'!H10</f>
        <v>15</v>
      </c>
      <c r="G74" s="364">
        <f>'Industry Cost Inputs - Original'!I10</f>
        <v>7.5</v>
      </c>
      <c r="H74" s="364">
        <f>'Industry Cost Inputs - Original'!J10</f>
        <v>15</v>
      </c>
      <c r="I74" s="364">
        <f>'Industry Cost Inputs - Original'!K10</f>
        <v>10</v>
      </c>
      <c r="J74" s="364">
        <f>AVERAGE(E74:I74)</f>
        <v>13.1</v>
      </c>
      <c r="K74" s="427"/>
      <c r="L74" s="427"/>
    </row>
    <row r="76" spans="3:12">
      <c r="C76" s="429">
        <v>16</v>
      </c>
      <c r="D76" s="395" t="s">
        <v>588</v>
      </c>
      <c r="E76" s="399" t="s">
        <v>15</v>
      </c>
      <c r="F76" s="399" t="s">
        <v>16</v>
      </c>
      <c r="G76" s="399" t="s">
        <v>17</v>
      </c>
    </row>
    <row r="77" spans="3:12">
      <c r="D77" s="400" t="s">
        <v>475</v>
      </c>
      <c r="E77" s="402">
        <f>'Industry Per CP Per Cust Costs'!F80</f>
        <v>6.4621243702757042E-2</v>
      </c>
      <c r="F77" s="402">
        <f>'Industry Per CP Per Cust Costs'!G80</f>
        <v>7.0637937485699381E-2</v>
      </c>
      <c r="G77" s="402">
        <f>'Industry Per CP Per Cust Costs'!H80</f>
        <v>0.10606756782223288</v>
      </c>
    </row>
    <row r="78" spans="3:12">
      <c r="D78" s="400" t="s">
        <v>476</v>
      </c>
      <c r="E78" s="402">
        <f>'Industry Per CP Per Cust Costs'!F81</f>
        <v>1.3842446011420837</v>
      </c>
      <c r="F78" s="402">
        <f>'Industry Per CP Per Cust Costs'!G81</f>
        <v>2.2937623961528106</v>
      </c>
      <c r="G78" s="402">
        <f>'Industry Per CP Per Cust Costs'!H81</f>
        <v>1.7125722774757755</v>
      </c>
    </row>
    <row r="79" spans="3:12">
      <c r="D79" s="400" t="s">
        <v>477</v>
      </c>
      <c r="E79" s="424" t="s">
        <v>671</v>
      </c>
      <c r="F79" s="424" t="s">
        <v>671</v>
      </c>
      <c r="G79" s="424" t="s">
        <v>671</v>
      </c>
    </row>
    <row r="80" spans="3:12">
      <c r="D80" s="400" t="s">
        <v>478</v>
      </c>
      <c r="E80" s="402">
        <f>'Industry Per CP Per Cust Costs'!F86</f>
        <v>5.9226102429678448E-2</v>
      </c>
      <c r="F80" s="402">
        <f>'Industry Per CP Per Cust Costs'!G86</f>
        <v>0.1573989852571826</v>
      </c>
      <c r="G80" s="402">
        <f>'Industry Per CP Per Cust Costs'!H86</f>
        <v>0.24270605084138919</v>
      </c>
    </row>
    <row r="81" spans="3:8">
      <c r="D81" s="400" t="s">
        <v>479</v>
      </c>
      <c r="E81" s="402">
        <f>'Industry Per CP Per Cust Costs'!F87</f>
        <v>6.3659147869674179E-2</v>
      </c>
      <c r="F81" s="402">
        <f>'Industry Per CP Per Cust Costs'!G87</f>
        <v>9.8486215538847122E-2</v>
      </c>
      <c r="G81" s="402">
        <f>'Industry Per CP Per Cust Costs'!H87</f>
        <v>0.37297529538131041</v>
      </c>
    </row>
    <row r="82" spans="3:8">
      <c r="D82" s="400" t="s">
        <v>480</v>
      </c>
      <c r="E82" s="424" t="s">
        <v>671</v>
      </c>
      <c r="F82" s="424" t="s">
        <v>671</v>
      </c>
      <c r="G82" s="424" t="s">
        <v>671</v>
      </c>
    </row>
    <row r="83" spans="3:8">
      <c r="E83" s="295"/>
      <c r="F83" s="295"/>
      <c r="G83" s="295"/>
    </row>
    <row r="84" spans="3:8">
      <c r="C84" s="429">
        <v>17</v>
      </c>
      <c r="D84" s="395" t="s">
        <v>589</v>
      </c>
      <c r="E84" s="399" t="s">
        <v>228</v>
      </c>
      <c r="F84" s="399" t="s">
        <v>229</v>
      </c>
      <c r="G84" s="399" t="s">
        <v>230</v>
      </c>
    </row>
    <row r="85" spans="3:8">
      <c r="D85" s="400" t="s">
        <v>489</v>
      </c>
      <c r="E85" s="361">
        <f>'Industry - Mkt Size Inputs'!F35/1000000</f>
        <v>4.3049999999999997</v>
      </c>
      <c r="F85" s="361">
        <f>'Industry Model Outputs'!F12/1000000</f>
        <v>3</v>
      </c>
      <c r="G85" s="361">
        <f>'Industry Model Outputs'!F13/1000000</f>
        <v>22</v>
      </c>
      <c r="H85" s="331"/>
    </row>
    <row r="86" spans="3:8">
      <c r="E86" s="295"/>
      <c r="F86" s="295"/>
      <c r="G86" s="295"/>
    </row>
    <row r="87" spans="3:8">
      <c r="C87" s="429">
        <v>18</v>
      </c>
      <c r="D87" s="395" t="s">
        <v>606</v>
      </c>
      <c r="E87" s="399" t="s">
        <v>15</v>
      </c>
      <c r="F87" s="399" t="s">
        <v>16</v>
      </c>
      <c r="G87" s="399" t="s">
        <v>17</v>
      </c>
    </row>
    <row r="88" spans="3:8">
      <c r="D88" s="400" t="s">
        <v>490</v>
      </c>
      <c r="E88" s="364">
        <f>'Industry Model Outputs'!F22/1000</f>
        <v>1903.0923601128659</v>
      </c>
      <c r="F88" s="364">
        <f>'Industry Model Outputs'!G22/1000</f>
        <v>2854.1592912162446</v>
      </c>
      <c r="G88" s="364">
        <f>'Industry Model Outputs'!H22/1000</f>
        <v>1097.8051812242363</v>
      </c>
    </row>
    <row r="89" spans="3:8">
      <c r="D89" s="400" t="s">
        <v>491</v>
      </c>
      <c r="E89" s="364">
        <f>'Industry Model Outputs'!F37/1000</f>
        <v>52.989332324286707</v>
      </c>
      <c r="F89" s="364">
        <f>'Industry Model Outputs'!G37/1000</f>
        <v>58.753916626178487</v>
      </c>
      <c r="G89" s="364">
        <f>'Industry Model Outputs'!H37/1000</f>
        <v>28.727146766917294</v>
      </c>
    </row>
    <row r="91" spans="3:8">
      <c r="C91" s="429">
        <v>20</v>
      </c>
      <c r="D91" s="395" t="s">
        <v>590</v>
      </c>
      <c r="E91" s="399" t="s">
        <v>15</v>
      </c>
      <c r="F91" s="399" t="s">
        <v>16</v>
      </c>
      <c r="G91" s="399" t="s">
        <v>17</v>
      </c>
    </row>
    <row r="92" spans="3:8">
      <c r="D92" s="400" t="s">
        <v>473</v>
      </c>
      <c r="E92" s="361">
        <f>'Industry Model Outputs'!F27/1000000</f>
        <v>33.300968493274553</v>
      </c>
      <c r="F92" s="361">
        <f>'Industry Model Outputs'!G27/1000000</f>
        <v>37.281437944747942</v>
      </c>
      <c r="G92" s="361">
        <f>'Industry Model Outputs'!H27/1000000</f>
        <v>27.136472402289463</v>
      </c>
    </row>
    <row r="93" spans="3:8">
      <c r="D93" s="400" t="s">
        <v>474</v>
      </c>
      <c r="E93" s="361">
        <f>'Industry Model Outputs'!F43/1000000</f>
        <v>3.4656882138400751</v>
      </c>
      <c r="F93" s="361">
        <f ca="1">F106/1000000</f>
        <v>8.4299225417938199</v>
      </c>
      <c r="G93" s="361">
        <f>'Industry Model Outputs'!H43/1000000</f>
        <v>4.2158359151163625</v>
      </c>
    </row>
    <row r="95" spans="3:8">
      <c r="C95" s="429">
        <v>21</v>
      </c>
      <c r="D95" s="395" t="s">
        <v>620</v>
      </c>
      <c r="E95" s="399" t="s">
        <v>15</v>
      </c>
      <c r="F95" s="399" t="s">
        <v>16</v>
      </c>
      <c r="G95" s="399" t="s">
        <v>17</v>
      </c>
    </row>
    <row r="96" spans="3:8">
      <c r="D96" s="400" t="s">
        <v>473</v>
      </c>
      <c r="E96" s="364">
        <f>'Industry Model Outputs'!F28</f>
        <v>1940000</v>
      </c>
      <c r="F96" s="364">
        <f>'Industry Model Outputs'!G28</f>
        <v>1565000</v>
      </c>
      <c r="G96" s="364">
        <f>'Industry Model Outputs'!H28</f>
        <v>365000</v>
      </c>
    </row>
    <row r="97" spans="3:7">
      <c r="D97" s="400" t="s">
        <v>474</v>
      </c>
      <c r="E97" s="364">
        <f ca="1">'Industry Model Outputs'!F44</f>
        <v>1055000</v>
      </c>
      <c r="F97" s="364">
        <f ca="1">'Industry Model Outputs'!G44</f>
        <v>890000</v>
      </c>
      <c r="G97" s="364">
        <f ca="1">'Industry Model Outputs'!H44</f>
        <v>500000</v>
      </c>
    </row>
    <row r="98" spans="3:7">
      <c r="D98" s="400" t="s">
        <v>621</v>
      </c>
      <c r="E98" s="364"/>
      <c r="F98" s="364">
        <f ca="1">F108</f>
        <v>4909227.7433964564</v>
      </c>
      <c r="G98" s="364"/>
    </row>
    <row r="100" spans="3:7">
      <c r="C100" s="429">
        <v>22</v>
      </c>
      <c r="D100" s="395" t="s">
        <v>591</v>
      </c>
      <c r="E100" s="399" t="s">
        <v>15</v>
      </c>
      <c r="F100" s="399" t="s">
        <v>16</v>
      </c>
      <c r="G100" s="399" t="s">
        <v>17</v>
      </c>
    </row>
    <row r="101" spans="3:7">
      <c r="D101" s="400" t="s">
        <v>164</v>
      </c>
      <c r="E101" s="364">
        <f>'Industry Model Outputs'!F27</f>
        <v>33300968.493274555</v>
      </c>
      <c r="F101" s="364">
        <f>'Industry Model Outputs'!G27</f>
        <v>37281437.94474794</v>
      </c>
      <c r="G101" s="364">
        <f>'Industry Model Outputs'!H27</f>
        <v>27136472.402289465</v>
      </c>
    </row>
    <row r="102" spans="3:7">
      <c r="D102" s="400" t="s">
        <v>166</v>
      </c>
      <c r="E102" s="364">
        <f>'Industry Model Outputs'!F28</f>
        <v>1940000</v>
      </c>
      <c r="F102" s="364">
        <f>'Industry Model Outputs'!G28</f>
        <v>1565000</v>
      </c>
      <c r="G102" s="364">
        <f>'Industry Model Outputs'!H28</f>
        <v>365000</v>
      </c>
    </row>
    <row r="103" spans="3:7">
      <c r="D103" s="400" t="s">
        <v>36</v>
      </c>
      <c r="E103" s="364">
        <f>SUM(E101:E102)</f>
        <v>35240968.493274555</v>
      </c>
      <c r="F103" s="364">
        <f>SUM(F101:F102)</f>
        <v>38846437.94474794</v>
      </c>
      <c r="G103" s="364">
        <f>SUM(G101:G102)</f>
        <v>27501472.402289465</v>
      </c>
    </row>
    <row r="105" spans="3:7">
      <c r="C105" s="429">
        <v>22</v>
      </c>
      <c r="D105" s="395" t="s">
        <v>592</v>
      </c>
      <c r="E105" s="399" t="s">
        <v>15</v>
      </c>
      <c r="F105" s="399" t="s">
        <v>16</v>
      </c>
      <c r="G105" s="399" t="s">
        <v>17</v>
      </c>
    </row>
    <row r="106" spans="3:7">
      <c r="D106" s="400" t="s">
        <v>165</v>
      </c>
      <c r="E106" s="364">
        <f>'Industry Model Outputs'!F43</f>
        <v>3465688.2138400753</v>
      </c>
      <c r="F106" s="364">
        <f ca="1">F109-F107-F108</f>
        <v>8429922.5417938195</v>
      </c>
      <c r="G106" s="364">
        <f>'Industry Model Outputs'!H43</f>
        <v>4215835.9151163623</v>
      </c>
    </row>
    <row r="107" spans="3:7">
      <c r="D107" s="400" t="s">
        <v>167</v>
      </c>
      <c r="E107" s="364">
        <f ca="1">'Industry Model Outputs'!F44</f>
        <v>1055000</v>
      </c>
      <c r="F107" s="364">
        <f ca="1">'Industry Model Outputs'!G44</f>
        <v>890000</v>
      </c>
      <c r="G107" s="364">
        <f ca="1">'Industry Model Outputs'!H44</f>
        <v>500000</v>
      </c>
    </row>
    <row r="108" spans="3:7">
      <c r="D108" s="400" t="s">
        <v>342</v>
      </c>
      <c r="E108" s="364"/>
      <c r="F108" s="364">
        <f ca="1">'Industry Model Outputs'!G41</f>
        <v>4909227.7433964564</v>
      </c>
      <c r="G108" s="364"/>
    </row>
    <row r="109" spans="3:7">
      <c r="D109" s="400" t="s">
        <v>36</v>
      </c>
      <c r="E109" s="364">
        <f ca="1">SUM(E106:E107)</f>
        <v>4520688.2138400748</v>
      </c>
      <c r="F109" s="364">
        <f ca="1">'Industry Model Outputs'!G46</f>
        <v>14229150.285190277</v>
      </c>
      <c r="G109" s="364">
        <f ca="1">SUM(G106:G107)</f>
        <v>4715835.9151163623</v>
      </c>
    </row>
    <row r="111" spans="3:7">
      <c r="C111" s="429">
        <v>23</v>
      </c>
      <c r="D111" s="395" t="s">
        <v>593</v>
      </c>
      <c r="E111" s="399" t="s">
        <v>15</v>
      </c>
      <c r="F111" s="399" t="s">
        <v>16</v>
      </c>
      <c r="G111" s="399" t="s">
        <v>17</v>
      </c>
    </row>
    <row r="112" spans="3:7">
      <c r="D112" s="400" t="s">
        <v>464</v>
      </c>
      <c r="E112" s="364">
        <f ca="1">'NPV Model'!G10</f>
        <v>56000000</v>
      </c>
      <c r="F112" s="364">
        <f ca="1">'NPV Model'!H10</f>
        <v>103000000</v>
      </c>
      <c r="G112" s="364">
        <f ca="1">'NPV Model'!K10</f>
        <v>49000000</v>
      </c>
    </row>
    <row r="113" spans="3:9">
      <c r="D113" s="400" t="s">
        <v>465</v>
      </c>
      <c r="E113" s="364">
        <f ca="1">'NPV Model'!G14</f>
        <v>73000000</v>
      </c>
      <c r="F113" s="364">
        <f ca="1">'NPV Model'!H14</f>
        <v>156000000</v>
      </c>
      <c r="G113" s="364">
        <f ca="1">'NPV Model'!K14</f>
        <v>66000000</v>
      </c>
    </row>
    <row r="115" spans="3:9">
      <c r="C115" s="429">
        <v>24</v>
      </c>
      <c r="D115" s="395" t="s">
        <v>594</v>
      </c>
      <c r="E115" s="399" t="s">
        <v>15</v>
      </c>
      <c r="F115" s="399" t="s">
        <v>649</v>
      </c>
      <c r="G115" s="399" t="s">
        <v>509</v>
      </c>
      <c r="H115" s="399" t="s">
        <v>650</v>
      </c>
      <c r="I115" s="399" t="s">
        <v>17</v>
      </c>
    </row>
    <row r="116" spans="3:9">
      <c r="D116" s="400" t="s">
        <v>376</v>
      </c>
      <c r="E116" s="364">
        <f ca="1">'Independent Model Outputs'!G21</f>
        <v>7500</v>
      </c>
      <c r="F116" s="364">
        <f ca="1">'Independent Model Outputs'!H21</f>
        <v>7500</v>
      </c>
      <c r="G116" s="364">
        <f ca="1">'Independent Model Outputs'!I21</f>
        <v>7500</v>
      </c>
      <c r="H116" s="364">
        <f ca="1">'Independent Model Outputs'!J21</f>
        <v>5000</v>
      </c>
      <c r="I116" s="364">
        <f ca="1">'Independent Model Outputs'!K21</f>
        <v>1250</v>
      </c>
    </row>
    <row r="117" spans="3:9">
      <c r="D117" s="400" t="s">
        <v>377</v>
      </c>
      <c r="E117" s="364">
        <f ca="1">'Independent Model Outputs'!G22</f>
        <v>587500</v>
      </c>
      <c r="F117" s="364">
        <f ca="1">'Independent Model Outputs'!H22</f>
        <v>512500</v>
      </c>
      <c r="G117" s="364">
        <f ca="1">'Independent Model Outputs'!I22</f>
        <v>512500</v>
      </c>
      <c r="H117" s="364">
        <f ca="1">'Independent Model Outputs'!J22</f>
        <v>460000</v>
      </c>
      <c r="I117" s="364">
        <f ca="1">'Independent Model Outputs'!K22</f>
        <v>250000</v>
      </c>
    </row>
    <row r="118" spans="3:9">
      <c r="D118" s="400" t="s">
        <v>378</v>
      </c>
      <c r="E118" s="364">
        <f ca="1">'Independent Model Outputs'!G23</f>
        <v>1672500</v>
      </c>
      <c r="F118" s="364">
        <f ca="1">'Independent Model Outputs'!H23</f>
        <v>1422500</v>
      </c>
      <c r="G118" s="364">
        <f ca="1">'Independent Model Outputs'!I23</f>
        <v>1422500</v>
      </c>
      <c r="H118" s="364">
        <f ca="1">'Independent Model Outputs'!J23</f>
        <v>1245000</v>
      </c>
      <c r="I118" s="364">
        <f ca="1">'Independent Model Outputs'!K23</f>
        <v>567500</v>
      </c>
    </row>
    <row r="119" spans="3:9">
      <c r="D119" s="400" t="s">
        <v>367</v>
      </c>
      <c r="E119" s="364">
        <f ca="1">'Independent Model Outputs'!G24</f>
        <v>420000</v>
      </c>
      <c r="F119" s="364">
        <f ca="1">'Independent Model Outputs'!H24</f>
        <v>345000</v>
      </c>
      <c r="G119" s="364">
        <f ca="1">'Independent Model Outputs'!I24</f>
        <v>345000</v>
      </c>
      <c r="H119" s="364">
        <f ca="1">'Independent Model Outputs'!J24</f>
        <v>345000</v>
      </c>
      <c r="I119" s="364">
        <f ca="1">'Independent Model Outputs'!K24</f>
        <v>220000</v>
      </c>
    </row>
    <row r="121" spans="3:9">
      <c r="C121" s="429">
        <v>24</v>
      </c>
      <c r="D121" s="395" t="s">
        <v>595</v>
      </c>
      <c r="E121" s="399" t="s">
        <v>15</v>
      </c>
      <c r="F121" s="399" t="s">
        <v>649</v>
      </c>
      <c r="G121" s="399" t="s">
        <v>509</v>
      </c>
      <c r="H121" s="399" t="s">
        <v>650</v>
      </c>
      <c r="I121" s="399" t="s">
        <v>17</v>
      </c>
    </row>
    <row r="122" spans="3:9">
      <c r="D122" s="406" t="s">
        <v>376</v>
      </c>
      <c r="E122" s="406">
        <f ca="1">'Independent Model Outputs'!G27</f>
        <v>2590.3444338182553</v>
      </c>
      <c r="F122" s="406">
        <f ca="1">'Independent Model Outputs'!H27</f>
        <v>6134.1252704159288</v>
      </c>
      <c r="G122" s="406">
        <f ca="1">'Independent Model Outputs'!I27</f>
        <v>3907.0515559839191</v>
      </c>
      <c r="H122" s="406">
        <f ca="1">'Independent Model Outputs'!J27</f>
        <v>39.027535908983282</v>
      </c>
      <c r="I122" s="364">
        <f ca="1">'Independent Model Outputs'!K27</f>
        <v>2269.9056363637892</v>
      </c>
    </row>
    <row r="123" spans="3:9">
      <c r="D123" s="406" t="s">
        <v>377</v>
      </c>
      <c r="E123" s="406">
        <f ca="1">'Independent Model Outputs'!G28</f>
        <v>129306.88867636511</v>
      </c>
      <c r="F123" s="406">
        <f ca="1">'Independent Model Outputs'!H28</f>
        <v>195182.50540831854</v>
      </c>
      <c r="G123" s="406">
        <f ca="1">'Independent Model Outputs'!I28</f>
        <v>150641.03111967837</v>
      </c>
      <c r="H123" s="406">
        <f ca="1">'Independent Model Outputs'!J28</f>
        <v>72780.550718179671</v>
      </c>
      <c r="I123" s="364">
        <f ca="1">'Independent Model Outputs'!K28</f>
        <v>90398.112727275788</v>
      </c>
    </row>
    <row r="124" spans="3:9">
      <c r="D124" s="406" t="s">
        <v>378</v>
      </c>
      <c r="E124" s="406">
        <f ca="1">'Independent Model Outputs'!G29</f>
        <v>694292.95906669367</v>
      </c>
      <c r="F124" s="406">
        <f ca="1">'Independent Model Outputs'!H29</f>
        <v>1826924.5081191622</v>
      </c>
      <c r="G124" s="406">
        <f ca="1">'Independent Model Outputs'!I29</f>
        <v>1173649.551885773</v>
      </c>
      <c r="H124" s="406">
        <f ca="1">'Independent Model Outputs'!J29</f>
        <v>-32885.256133364921</v>
      </c>
      <c r="I124" s="364">
        <f ca="1">'Independent Model Outputs'!K29</f>
        <v>854132.06666672276</v>
      </c>
    </row>
    <row r="125" spans="3:9">
      <c r="D125" s="406" t="s">
        <v>367</v>
      </c>
      <c r="E125" s="406">
        <f ca="1">'Independent Model Outputs'!G30</f>
        <v>74000</v>
      </c>
      <c r="F125" s="406">
        <f ca="1">'Independent Model Outputs'!H30</f>
        <v>69000</v>
      </c>
      <c r="G125" s="406">
        <f ca="1">'Independent Model Outputs'!I30</f>
        <v>69000</v>
      </c>
      <c r="H125" s="406">
        <f ca="1">'Independent Model Outputs'!J30</f>
        <v>69000</v>
      </c>
      <c r="I125" s="364">
        <f ca="1">'Independent Model Outputs'!K30</f>
        <v>44000</v>
      </c>
    </row>
    <row r="127" spans="3:9">
      <c r="C127" s="430" t="s">
        <v>194</v>
      </c>
      <c r="D127" s="395" t="s">
        <v>596</v>
      </c>
      <c r="E127" s="399" t="s">
        <v>15</v>
      </c>
      <c r="F127" s="399" t="s">
        <v>649</v>
      </c>
      <c r="G127" s="399" t="s">
        <v>509</v>
      </c>
      <c r="H127" s="399" t="s">
        <v>650</v>
      </c>
      <c r="I127" s="399" t="s">
        <v>17</v>
      </c>
    </row>
    <row r="128" spans="3:9">
      <c r="D128" s="407" t="s">
        <v>376</v>
      </c>
      <c r="E128" s="407">
        <f ca="1">E116/'Independent Cost Inputs'!$H$47</f>
        <v>0.5</v>
      </c>
      <c r="F128" s="407">
        <f ca="1">F116/'Independent Cost Inputs'!$H$47</f>
        <v>0.5</v>
      </c>
      <c r="G128" s="407">
        <f ca="1">G116/'Independent Cost Inputs'!$H$47</f>
        <v>0.5</v>
      </c>
      <c r="H128" s="407">
        <f ca="1">H116/'Independent Cost Inputs'!$H$47</f>
        <v>0.33333333333333331</v>
      </c>
      <c r="I128" s="407">
        <f ca="1">I116/'Independent Cost Inputs'!$H$47</f>
        <v>8.3333333333333329E-2</v>
      </c>
    </row>
    <row r="129" spans="3:9">
      <c r="D129" s="407" t="s">
        <v>377</v>
      </c>
      <c r="E129" s="407">
        <f ca="1">E117/'Independent Cost Inputs'!$I$47</f>
        <v>1.9583333333333333</v>
      </c>
      <c r="F129" s="407">
        <f ca="1">F117/'Independent Cost Inputs'!$I$47</f>
        <v>1.7083333333333333</v>
      </c>
      <c r="G129" s="407">
        <f ca="1">G117/'Independent Cost Inputs'!$I$47</f>
        <v>1.7083333333333333</v>
      </c>
      <c r="H129" s="407">
        <f ca="1">H117/'Independent Cost Inputs'!$I$47</f>
        <v>1.5333333333333334</v>
      </c>
      <c r="I129" s="407">
        <f ca="1">I117/'Independent Cost Inputs'!$I$47</f>
        <v>0.83333333333333337</v>
      </c>
    </row>
    <row r="130" spans="3:9">
      <c r="D130" s="407" t="s">
        <v>378</v>
      </c>
      <c r="E130" s="407">
        <f ca="1">E118/'Independent Cost Inputs'!$J$47</f>
        <v>0.30409090909090908</v>
      </c>
      <c r="F130" s="407">
        <f ca="1">F118/'Independent Cost Inputs'!$J$47</f>
        <v>0.25863636363636361</v>
      </c>
      <c r="G130" s="407">
        <f ca="1">G118/'Independent Cost Inputs'!$J$47</f>
        <v>0.25863636363636361</v>
      </c>
      <c r="H130" s="407">
        <f ca="1">H118/'Independent Cost Inputs'!$J$47</f>
        <v>0.22636363636363635</v>
      </c>
      <c r="I130" s="407">
        <f ca="1">I118/'Independent Cost Inputs'!$J$47</f>
        <v>0.10318181818181818</v>
      </c>
    </row>
    <row r="131" spans="3:9">
      <c r="D131" s="247"/>
    </row>
    <row r="132" spans="3:9">
      <c r="C132" s="429">
        <v>25</v>
      </c>
      <c r="D132" s="395" t="s">
        <v>597</v>
      </c>
      <c r="E132" s="399" t="s">
        <v>15</v>
      </c>
      <c r="F132" s="399" t="s">
        <v>649</v>
      </c>
      <c r="G132" s="399" t="s">
        <v>509</v>
      </c>
      <c r="H132" s="399" t="s">
        <v>650</v>
      </c>
      <c r="I132" s="399" t="s">
        <v>17</v>
      </c>
    </row>
    <row r="133" spans="3:9">
      <c r="D133" s="407" t="s">
        <v>376</v>
      </c>
      <c r="E133" s="407">
        <f ca="1">E128+(E$119/('Independent Mkt Size Inputs '!$G$10*'Independent Cost Inputs'!$H$47))</f>
        <v>0.59756097560975607</v>
      </c>
      <c r="F133" s="407">
        <f ca="1">F128+(F$119/('Independent Mkt Size Inputs '!$G$10*'Independent Cost Inputs'!$H$47))</f>
        <v>0.58013937282229966</v>
      </c>
      <c r="G133" s="407">
        <f ca="1">G128+(G$119/('Independent Mkt Size Inputs '!$G$10*'Independent Cost Inputs'!$H$47))</f>
        <v>0.58013937282229966</v>
      </c>
      <c r="H133" s="407">
        <f ca="1">H128+(H$119/('Independent Mkt Size Inputs '!$G$10*'Independent Cost Inputs'!$H$47))</f>
        <v>0.41347270615563297</v>
      </c>
      <c r="I133" s="407">
        <f ca="1">I128+(I$119/('Independent Mkt Size Inputs '!$G$10*'Independent Cost Inputs'!$H$47))</f>
        <v>0.13443670150987225</v>
      </c>
    </row>
    <row r="134" spans="3:9">
      <c r="D134" s="407" t="s">
        <v>377</v>
      </c>
      <c r="E134" s="407">
        <f ca="1">E129</f>
        <v>1.9583333333333333</v>
      </c>
      <c r="F134" s="407">
        <f t="shared" ref="F134:H134" ca="1" si="3">F129</f>
        <v>1.7083333333333333</v>
      </c>
      <c r="G134" s="407">
        <f t="shared" ca="1" si="3"/>
        <v>1.7083333333333333</v>
      </c>
      <c r="H134" s="407">
        <f t="shared" ca="1" si="3"/>
        <v>1.5333333333333334</v>
      </c>
      <c r="I134" s="407">
        <f ca="1">I129+(I$119/('Independent Mkt Size Inputs '!$G$10*'Independent Cost Inputs'!$H$47))</f>
        <v>0.8844367015098723</v>
      </c>
    </row>
    <row r="135" spans="3:9">
      <c r="D135" s="407" t="s">
        <v>378</v>
      </c>
      <c r="E135" s="407">
        <f ca="1">E130</f>
        <v>0.30409090909090908</v>
      </c>
      <c r="F135" s="407">
        <f t="shared" ref="F135:H135" ca="1" si="4">F130</f>
        <v>0.25863636363636361</v>
      </c>
      <c r="G135" s="407">
        <f t="shared" ca="1" si="4"/>
        <v>0.25863636363636361</v>
      </c>
      <c r="H135" s="407">
        <f t="shared" ca="1" si="4"/>
        <v>0.22636363636363635</v>
      </c>
      <c r="I135" s="407">
        <f ca="1">I130+(I$119/('Independent Mkt Size Inputs '!$G$10*'Independent Cost Inputs'!$H$47))</f>
        <v>0.15428518635835708</v>
      </c>
    </row>
    <row r="136" spans="3:9">
      <c r="E136" s="295"/>
      <c r="F136" s="295"/>
      <c r="G136" s="295"/>
    </row>
    <row r="137" spans="3:9">
      <c r="C137" s="429">
        <v>25</v>
      </c>
      <c r="D137" s="404" t="s">
        <v>598</v>
      </c>
      <c r="E137" s="399" t="s">
        <v>15</v>
      </c>
      <c r="F137" s="399" t="s">
        <v>649</v>
      </c>
      <c r="G137" s="399" t="s">
        <v>509</v>
      </c>
      <c r="H137" s="399" t="s">
        <v>650</v>
      </c>
      <c r="I137" s="403" t="s">
        <v>17</v>
      </c>
    </row>
    <row r="138" spans="3:9">
      <c r="D138" s="407" t="s">
        <v>376</v>
      </c>
      <c r="E138" s="407">
        <f ca="1">E143+(E$125/('Independent Mkt Size Inputs '!$G$10*'Independent Cost Inputs'!$H$47))</f>
        <v>0.1898789436715074</v>
      </c>
      <c r="F138" s="407">
        <f ca="1">F143+(F$125/('Independent Mkt Size Inputs '!$G$10*'Independent Cost Inputs'!$H$47))</f>
        <v>0.42496955925885516</v>
      </c>
      <c r="G138" s="407">
        <f ca="1">G143+(G$125/('Independent Mkt Size Inputs '!$G$10*'Independent Cost Inputs'!$H$47))</f>
        <v>0.27649797829672118</v>
      </c>
      <c r="H138" s="407">
        <f ca="1">H143+(H$125/('Independent Mkt Size Inputs '!$G$10*'Independent Cost Inputs'!$H$47))</f>
        <v>1.8629710291725485E-2</v>
      </c>
      <c r="I138" s="407">
        <f ca="1">I143+(I$125/('Independent Mkt Size Inputs '!$G$10*'Independent Cost Inputs'!$H$47))</f>
        <v>0.16154771605956039</v>
      </c>
    </row>
    <row r="139" spans="3:9">
      <c r="D139" s="407" t="s">
        <v>377</v>
      </c>
      <c r="E139" s="407">
        <f ca="1">E144</f>
        <v>0.43102296225455039</v>
      </c>
      <c r="F139" s="407">
        <f t="shared" ref="F139:F140" ca="1" si="5">F144</f>
        <v>0.65060835136106177</v>
      </c>
      <c r="G139" s="407">
        <f t="shared" ref="G139:H139" ca="1" si="6">G144</f>
        <v>0.5021367703989279</v>
      </c>
      <c r="H139" s="407">
        <f t="shared" ca="1" si="6"/>
        <v>0.24260183572726557</v>
      </c>
      <c r="I139" s="407">
        <f ca="1">I144</f>
        <v>0.30132704242425262</v>
      </c>
    </row>
    <row r="140" spans="3:9">
      <c r="D140" s="407" t="s">
        <v>378</v>
      </c>
      <c r="E140" s="407">
        <f ca="1">E145</f>
        <v>0.12623508346667159</v>
      </c>
      <c r="F140" s="407">
        <f t="shared" ca="1" si="5"/>
        <v>0.3321680923853022</v>
      </c>
      <c r="G140" s="407">
        <f t="shared" ref="G140:H140" ca="1" si="7">G145</f>
        <v>0.21339082761559508</v>
      </c>
      <c r="H140" s="407">
        <f t="shared" ca="1" si="7"/>
        <v>-5.9791374787936218E-3</v>
      </c>
      <c r="I140" s="407">
        <f ca="1">I145</f>
        <v>0.15529673939394958</v>
      </c>
    </row>
    <row r="142" spans="3:9">
      <c r="C142" s="430" t="s">
        <v>194</v>
      </c>
      <c r="D142" s="404" t="s">
        <v>599</v>
      </c>
      <c r="E142" s="399" t="s">
        <v>15</v>
      </c>
      <c r="F142" s="399" t="s">
        <v>649</v>
      </c>
      <c r="G142" s="399" t="s">
        <v>509</v>
      </c>
      <c r="H142" s="399" t="s">
        <v>650</v>
      </c>
      <c r="I142" s="403" t="s">
        <v>17</v>
      </c>
    </row>
    <row r="143" spans="3:9">
      <c r="D143" s="407" t="s">
        <v>376</v>
      </c>
      <c r="E143" s="407">
        <f ca="1">E122/'Independent Cost Inputs'!$H$47</f>
        <v>0.17268962892121703</v>
      </c>
      <c r="F143" s="407">
        <f ca="1">F122/'Independent Cost Inputs'!$H$47</f>
        <v>0.40894168469439524</v>
      </c>
      <c r="G143" s="407">
        <f ca="1">G122/'Independent Cost Inputs'!$H$47</f>
        <v>0.26047010373226126</v>
      </c>
      <c r="H143" s="407">
        <f ca="1">H122/'Independent Cost Inputs'!$H$47</f>
        <v>2.6018357272655523E-3</v>
      </c>
      <c r="I143" s="407">
        <f ca="1">I122/'Independent Cost Inputs'!$H$47</f>
        <v>0.1513270424242526</v>
      </c>
    </row>
    <row r="144" spans="3:9">
      <c r="D144" s="407" t="s">
        <v>377</v>
      </c>
      <c r="E144" s="407">
        <f ca="1">E123/'Independent Cost Inputs'!$I$47</f>
        <v>0.43102296225455039</v>
      </c>
      <c r="F144" s="407">
        <f ca="1">F123/'Independent Cost Inputs'!$I$47</f>
        <v>0.65060835136106177</v>
      </c>
      <c r="G144" s="407">
        <f ca="1">G123/'Independent Cost Inputs'!$I$47</f>
        <v>0.5021367703989279</v>
      </c>
      <c r="H144" s="407">
        <f ca="1">H123/'Independent Cost Inputs'!$I$47</f>
        <v>0.24260183572726557</v>
      </c>
      <c r="I144" s="407">
        <f ca="1">I123/'Independent Cost Inputs'!$I$47</f>
        <v>0.30132704242425262</v>
      </c>
    </row>
    <row r="145" spans="3:9">
      <c r="D145" s="407" t="s">
        <v>378</v>
      </c>
      <c r="E145" s="407">
        <f ca="1">E124/'Independent Cost Inputs'!$J$47</f>
        <v>0.12623508346667159</v>
      </c>
      <c r="F145" s="407">
        <f ca="1">F124/'Independent Cost Inputs'!$J$47</f>
        <v>0.3321680923853022</v>
      </c>
      <c r="G145" s="407">
        <f ca="1">G124/'Independent Cost Inputs'!$J$47</f>
        <v>0.21339082761559508</v>
      </c>
      <c r="H145" s="407">
        <f ca="1">H124/'Independent Cost Inputs'!$J$47</f>
        <v>-5.9791374787936218E-3</v>
      </c>
      <c r="I145" s="407">
        <f ca="1">I124/'Independent Cost Inputs'!$J$47</f>
        <v>0.15529673939394958</v>
      </c>
    </row>
    <row r="147" spans="3:9">
      <c r="C147" s="429">
        <v>26</v>
      </c>
      <c r="D147" s="404" t="s">
        <v>600</v>
      </c>
      <c r="E147" s="399" t="s">
        <v>15</v>
      </c>
      <c r="F147" s="399" t="s">
        <v>649</v>
      </c>
      <c r="G147" s="399" t="s">
        <v>509</v>
      </c>
      <c r="H147" s="399" t="s">
        <v>650</v>
      </c>
      <c r="I147" s="399" t="s">
        <v>17</v>
      </c>
    </row>
    <row r="148" spans="3:9">
      <c r="D148" s="406" t="s">
        <v>50</v>
      </c>
      <c r="E148" s="364">
        <f>'Independent Model Outputs'!G9</f>
        <v>24680500</v>
      </c>
      <c r="F148" s="406">
        <f>'Independent Model Outputs'!H9</f>
        <v>22483500</v>
      </c>
      <c r="G148" s="406">
        <f>'Independent Model Outputs'!I9</f>
        <v>22483500</v>
      </c>
      <c r="H148" s="406">
        <f>'Independent Model Outputs'!J9</f>
        <v>20981500</v>
      </c>
      <c r="I148" s="364">
        <f>'Independent Model Outputs'!K9</f>
        <v>16413500</v>
      </c>
    </row>
    <row r="149" spans="3:9">
      <c r="D149" s="406" t="s">
        <v>131</v>
      </c>
      <c r="E149" s="364">
        <f>'Independent Model Outputs'!G10</f>
        <v>28050000</v>
      </c>
      <c r="F149" s="406">
        <f>'Independent Model Outputs'!H10</f>
        <v>25623000</v>
      </c>
      <c r="G149" s="406">
        <f>'Independent Model Outputs'!I10</f>
        <v>25623000</v>
      </c>
      <c r="H149" s="406">
        <f>'Independent Model Outputs'!J10</f>
        <v>23795500</v>
      </c>
      <c r="I149" s="364">
        <f>'Independent Model Outputs'!K10</f>
        <v>17504250</v>
      </c>
    </row>
    <row r="150" spans="3:9">
      <c r="D150" s="406" t="s">
        <v>23</v>
      </c>
      <c r="E150" s="364">
        <f>'Independent Model Outputs'!G11</f>
        <v>30039500</v>
      </c>
      <c r="F150" s="406">
        <f>'Independent Model Outputs'!H11</f>
        <v>27477500</v>
      </c>
      <c r="G150" s="406">
        <f>'Independent Model Outputs'!I11</f>
        <v>27477500</v>
      </c>
      <c r="H150" s="406">
        <f>'Independent Model Outputs'!J11</f>
        <v>25507250</v>
      </c>
      <c r="I150" s="364">
        <f>'Independent Model Outputs'!K11</f>
        <v>18191875</v>
      </c>
    </row>
    <row r="152" spans="3:9">
      <c r="C152" s="429">
        <v>26</v>
      </c>
      <c r="D152" s="404" t="s">
        <v>601</v>
      </c>
      <c r="E152" s="399" t="s">
        <v>15</v>
      </c>
      <c r="F152" s="399" t="s">
        <v>649</v>
      </c>
      <c r="G152" s="399" t="s">
        <v>509</v>
      </c>
      <c r="H152" s="399" t="s">
        <v>650</v>
      </c>
      <c r="I152" s="403" t="s">
        <v>17</v>
      </c>
    </row>
    <row r="153" spans="3:9">
      <c r="D153" s="406" t="s">
        <v>50</v>
      </c>
      <c r="E153" s="364">
        <f>'Independent Model Outputs'!G14</f>
        <v>3753327.5419645915</v>
      </c>
      <c r="F153" s="406">
        <f>'Independent Model Outputs'!H14</f>
        <v>7835663.2621733444</v>
      </c>
      <c r="G153" s="406">
        <f>'Independent Model Outputs'!I14</f>
        <v>5781393.9711389299</v>
      </c>
      <c r="H153" s="406">
        <f>'Independent Model Outputs'!J14</f>
        <v>1308691.8808078973</v>
      </c>
      <c r="I153" s="406">
        <f>'Independent Model Outputs'!K14</f>
        <v>3276495.7286533648</v>
      </c>
    </row>
    <row r="154" spans="3:9">
      <c r="D154" s="406" t="s">
        <v>131</v>
      </c>
      <c r="E154" s="364">
        <f>'Independent Model Outputs'!G15</f>
        <v>6383669.575536265</v>
      </c>
      <c r="F154" s="406">
        <f>'Independent Model Outputs'!H15</f>
        <v>12400017.039169205</v>
      </c>
      <c r="G154" s="406">
        <f>'Independent Model Outputs'!I15</f>
        <v>8702332.3153072596</v>
      </c>
      <c r="H154" s="406">
        <f>'Independent Model Outputs'!J15</f>
        <v>2102465.3854542151</v>
      </c>
      <c r="I154" s="406">
        <f>'Independent Model Outputs'!K15</f>
        <v>5771972.3115760563</v>
      </c>
    </row>
    <row r="155" spans="3:9">
      <c r="D155" s="406" t="s">
        <v>23</v>
      </c>
      <c r="E155" s="364">
        <f>'Independent Model Outputs'!G16</f>
        <v>9194599.1091079377</v>
      </c>
      <c r="F155" s="406">
        <f>'Independent Model Outputs'!H16</f>
        <v>16770867.130811661</v>
      </c>
      <c r="G155" s="406">
        <f>'Independent Model Outputs'!I16</f>
        <v>11429766.974122183</v>
      </c>
      <c r="H155" s="406">
        <f>'Independent Model Outputs'!J16</f>
        <v>2969213.8901005331</v>
      </c>
      <c r="I155" s="406">
        <f>'Independent Model Outputs'!K16</f>
        <v>8266755.1444987487</v>
      </c>
    </row>
    <row r="157" spans="3:9">
      <c r="C157" s="429">
        <v>27</v>
      </c>
      <c r="D157" s="404" t="s">
        <v>602</v>
      </c>
      <c r="E157" s="399" t="s">
        <v>15</v>
      </c>
      <c r="F157" s="399" t="s">
        <v>649</v>
      </c>
      <c r="G157" s="399" t="s">
        <v>509</v>
      </c>
      <c r="H157" s="399" t="s">
        <v>650</v>
      </c>
      <c r="I157" s="403" t="s">
        <v>17</v>
      </c>
    </row>
    <row r="158" spans="3:9">
      <c r="D158" s="406" t="s">
        <v>464</v>
      </c>
      <c r="E158" s="364">
        <f>'NPV Model'!G17</f>
        <v>57000000</v>
      </c>
      <c r="F158" s="406">
        <f>'NPV Model'!H17</f>
        <v>81000000</v>
      </c>
      <c r="G158" s="406">
        <f>'NPV Model'!I17</f>
        <v>65000000</v>
      </c>
      <c r="H158" s="406">
        <f>'NPV Model'!J17</f>
        <v>33000000</v>
      </c>
      <c r="I158" s="406">
        <f>'NPV Model'!K17</f>
        <v>43000000</v>
      </c>
    </row>
    <row r="159" spans="3:9">
      <c r="D159" s="397" t="s">
        <v>465</v>
      </c>
      <c r="E159" s="364">
        <f>'NPV Model'!G18</f>
        <v>81000000</v>
      </c>
      <c r="F159" s="364">
        <f>'NPV Model'!H18</f>
        <v>128000000</v>
      </c>
      <c r="G159" s="364">
        <f>'NPV Model'!I18</f>
        <v>98000000</v>
      </c>
      <c r="H159" s="364">
        <f>'NPV Model'!J18</f>
        <v>41000000</v>
      </c>
      <c r="I159" s="364">
        <f>'NPV Model'!K18</f>
        <v>65000000</v>
      </c>
    </row>
    <row r="161" spans="3:5">
      <c r="C161" s="430" t="s">
        <v>194</v>
      </c>
      <c r="D161" s="404" t="s">
        <v>603</v>
      </c>
      <c r="E161" s="399" t="s">
        <v>499</v>
      </c>
    </row>
    <row r="162" spans="3:5">
      <c r="D162" s="406" t="s">
        <v>497</v>
      </c>
      <c r="E162" s="441">
        <f>F14*1000000</f>
        <v>81000000</v>
      </c>
    </row>
    <row r="163" spans="3:5">
      <c r="D163" s="406" t="s">
        <v>498</v>
      </c>
      <c r="E163" s="441">
        <f>G14*1000000</f>
        <v>65000000</v>
      </c>
    </row>
    <row r="165" spans="3:5">
      <c r="C165" s="430" t="s">
        <v>194</v>
      </c>
      <c r="D165" s="404" t="s">
        <v>603</v>
      </c>
      <c r="E165" s="399" t="s">
        <v>500</v>
      </c>
    </row>
    <row r="166" spans="3:5">
      <c r="D166" s="406" t="s">
        <v>497</v>
      </c>
      <c r="E166" s="441">
        <f>F16*1000000</f>
        <v>128000000</v>
      </c>
    </row>
    <row r="167" spans="3:5">
      <c r="D167" s="406" t="s">
        <v>498</v>
      </c>
      <c r="E167" s="441">
        <f>G16*1000000</f>
        <v>98000000</v>
      </c>
    </row>
    <row r="169" spans="3:5">
      <c r="C169" s="429">
        <v>28</v>
      </c>
      <c r="D169" s="404" t="s">
        <v>501</v>
      </c>
      <c r="E169" s="399" t="s">
        <v>500</v>
      </c>
    </row>
    <row r="170" spans="3:5">
      <c r="D170" s="406" t="s">
        <v>503</v>
      </c>
      <c r="E170" s="411">
        <f>Scenarios!G11*1000000</f>
        <v>65000000</v>
      </c>
    </row>
    <row r="171" spans="3:5">
      <c r="D171" s="406" t="s">
        <v>502</v>
      </c>
      <c r="E171" s="411">
        <f>Scenarios!G12*1000000</f>
        <v>82000000</v>
      </c>
    </row>
    <row r="172" spans="3:5">
      <c r="E172" s="269"/>
    </row>
    <row r="173" spans="3:5">
      <c r="C173" s="429">
        <v>29</v>
      </c>
      <c r="D173" s="404" t="s">
        <v>663</v>
      </c>
      <c r="E173" s="399" t="s">
        <v>649</v>
      </c>
    </row>
    <row r="174" spans="3:5">
      <c r="D174" s="406" t="s">
        <v>497</v>
      </c>
      <c r="E174" s="441">
        <f>E166</f>
        <v>128000000</v>
      </c>
    </row>
    <row r="175" spans="3:5">
      <c r="D175" s="406" t="s">
        <v>504</v>
      </c>
      <c r="E175" s="411">
        <f>Scenarios!G27*1000000</f>
        <v>118000000</v>
      </c>
    </row>
    <row r="177" spans="3:7">
      <c r="C177" s="429">
        <v>29</v>
      </c>
      <c r="D177" s="404" t="s">
        <v>664</v>
      </c>
      <c r="E177" s="399" t="s">
        <v>509</v>
      </c>
    </row>
    <row r="178" spans="3:7">
      <c r="D178" s="406" t="s">
        <v>498</v>
      </c>
      <c r="E178" s="441">
        <f>E167</f>
        <v>98000000</v>
      </c>
    </row>
    <row r="179" spans="3:7">
      <c r="D179" s="406" t="s">
        <v>504</v>
      </c>
      <c r="E179" s="411">
        <f>Scenarios!G35*1000000</f>
        <v>88000000</v>
      </c>
    </row>
    <row r="181" spans="3:7">
      <c r="C181" s="430" t="s">
        <v>194</v>
      </c>
      <c r="D181" s="404" t="s">
        <v>593</v>
      </c>
      <c r="E181" s="399" t="s">
        <v>15</v>
      </c>
      <c r="F181" s="399" t="s">
        <v>16</v>
      </c>
      <c r="G181" s="399" t="s">
        <v>17</v>
      </c>
    </row>
    <row r="182" spans="3:7">
      <c r="D182" s="406" t="s">
        <v>464</v>
      </c>
      <c r="E182" s="364">
        <f ca="1">E13*1000000</f>
        <v>56000000</v>
      </c>
      <c r="F182" s="406">
        <f ca="1">F13*1000000</f>
        <v>103000000</v>
      </c>
      <c r="G182" s="364">
        <f ca="1">I13*1000000</f>
        <v>49000000</v>
      </c>
    </row>
    <row r="183" spans="3:7">
      <c r="D183" s="406" t="s">
        <v>465</v>
      </c>
      <c r="E183" s="364">
        <f ca="1">E15*1000000</f>
        <v>73000000</v>
      </c>
      <c r="F183" s="406">
        <f ca="1">F15*1000000</f>
        <v>156000000</v>
      </c>
      <c r="G183" s="364">
        <f ca="1">I15*1000000</f>
        <v>66000000</v>
      </c>
    </row>
    <row r="185" spans="3:7">
      <c r="C185" s="429">
        <v>30</v>
      </c>
      <c r="D185" s="404" t="s">
        <v>591</v>
      </c>
      <c r="E185" s="399" t="s">
        <v>15</v>
      </c>
      <c r="F185" s="399" t="s">
        <v>16</v>
      </c>
      <c r="G185" s="399" t="s">
        <v>17</v>
      </c>
    </row>
    <row r="186" spans="3:7">
      <c r="D186" s="406" t="s">
        <v>164</v>
      </c>
      <c r="E186" s="364">
        <f>E101</f>
        <v>33300968.493274555</v>
      </c>
      <c r="F186" s="406">
        <f t="shared" ref="F186:G186" si="8">F101</f>
        <v>37281437.94474794</v>
      </c>
      <c r="G186" s="364">
        <f t="shared" si="8"/>
        <v>27136472.402289465</v>
      </c>
    </row>
    <row r="187" spans="3:7">
      <c r="D187" s="406" t="s">
        <v>166</v>
      </c>
      <c r="E187" s="364">
        <f>E102</f>
        <v>1940000</v>
      </c>
      <c r="F187" s="406">
        <f t="shared" ref="F187:G187" si="9">F102</f>
        <v>1565000</v>
      </c>
      <c r="G187" s="364">
        <f t="shared" si="9"/>
        <v>365000</v>
      </c>
    </row>
    <row r="188" spans="3:7">
      <c r="D188" s="406" t="s">
        <v>36</v>
      </c>
      <c r="E188" s="364">
        <f>SUM(E186:E187)</f>
        <v>35240968.493274555</v>
      </c>
      <c r="F188" s="406">
        <f>SUM(F186:F187)</f>
        <v>38846437.94474794</v>
      </c>
      <c r="G188" s="364">
        <f>SUM(G186:G187)</f>
        <v>27501472.402289465</v>
      </c>
    </row>
    <row r="190" spans="3:7">
      <c r="C190" s="429">
        <v>30</v>
      </c>
      <c r="D190" s="404" t="s">
        <v>600</v>
      </c>
      <c r="E190" s="399" t="s">
        <v>15</v>
      </c>
      <c r="F190" s="399" t="s">
        <v>16</v>
      </c>
      <c r="G190" s="399" t="s">
        <v>17</v>
      </c>
    </row>
    <row r="191" spans="3:7">
      <c r="D191" s="406" t="s">
        <v>50</v>
      </c>
      <c r="E191" s="364">
        <f>E148</f>
        <v>24680500</v>
      </c>
      <c r="F191" s="406">
        <f t="shared" ref="F191" si="10">F148</f>
        <v>22483500</v>
      </c>
      <c r="G191" s="364">
        <f>I148</f>
        <v>16413500</v>
      </c>
    </row>
    <row r="192" spans="3:7">
      <c r="D192" s="406" t="s">
        <v>131</v>
      </c>
      <c r="E192" s="364">
        <f t="shared" ref="E192:F193" si="11">E149</f>
        <v>28050000</v>
      </c>
      <c r="F192" s="406">
        <f t="shared" si="11"/>
        <v>25623000</v>
      </c>
      <c r="G192" s="364">
        <f>I149</f>
        <v>17504250</v>
      </c>
    </row>
    <row r="193" spans="3:7">
      <c r="D193" s="406" t="s">
        <v>23</v>
      </c>
      <c r="E193" s="364">
        <f t="shared" si="11"/>
        <v>30039500</v>
      </c>
      <c r="F193" s="406">
        <f t="shared" si="11"/>
        <v>27477500</v>
      </c>
      <c r="G193" s="364">
        <f>I150</f>
        <v>18191875</v>
      </c>
    </row>
    <row r="195" spans="3:7">
      <c r="C195" s="429">
        <v>31</v>
      </c>
      <c r="D195" s="404" t="s">
        <v>592</v>
      </c>
      <c r="E195" s="399" t="s">
        <v>15</v>
      </c>
      <c r="F195" s="399" t="s">
        <v>16</v>
      </c>
      <c r="G195" s="399" t="s">
        <v>17</v>
      </c>
    </row>
    <row r="196" spans="3:7">
      <c r="D196" s="406" t="s">
        <v>165</v>
      </c>
      <c r="E196" s="364">
        <f>E106</f>
        <v>3465688.2138400753</v>
      </c>
      <c r="F196" s="406">
        <f t="shared" ref="F196:G196" ca="1" si="12">F106</f>
        <v>8429922.5417938195</v>
      </c>
      <c r="G196" s="364">
        <f t="shared" si="12"/>
        <v>4215835.9151163623</v>
      </c>
    </row>
    <row r="197" spans="3:7">
      <c r="D197" s="406" t="s">
        <v>167</v>
      </c>
      <c r="E197" s="364">
        <f ca="1">E107</f>
        <v>1055000</v>
      </c>
      <c r="F197" s="406">
        <f ca="1">F107</f>
        <v>890000</v>
      </c>
      <c r="G197" s="364">
        <f ca="1">G107</f>
        <v>500000</v>
      </c>
    </row>
    <row r="198" spans="3:7">
      <c r="D198" s="406" t="s">
        <v>342</v>
      </c>
      <c r="E198" s="364">
        <f>E108</f>
        <v>0</v>
      </c>
      <c r="F198" s="406">
        <f ca="1">F108</f>
        <v>4909227.7433964564</v>
      </c>
      <c r="G198" s="364">
        <f>G108</f>
        <v>0</v>
      </c>
    </row>
    <row r="199" spans="3:7">
      <c r="D199" s="406" t="s">
        <v>36</v>
      </c>
      <c r="E199" s="364">
        <f ca="1">SUM(E196:E197)</f>
        <v>4520688.2138400748</v>
      </c>
      <c r="F199" s="406">
        <f ca="1">SUM(F196:F198)</f>
        <v>14229150.285190277</v>
      </c>
      <c r="G199" s="364">
        <f ca="1">SUM(G196:G197)</f>
        <v>4715835.9151163623</v>
      </c>
    </row>
    <row r="201" spans="3:7">
      <c r="C201" s="429">
        <v>31</v>
      </c>
      <c r="D201" s="404" t="s">
        <v>601</v>
      </c>
      <c r="E201" s="399" t="s">
        <v>15</v>
      </c>
      <c r="F201" s="399" t="s">
        <v>16</v>
      </c>
      <c r="G201" s="399" t="s">
        <v>17</v>
      </c>
    </row>
    <row r="202" spans="3:7">
      <c r="D202" s="406" t="s">
        <v>50</v>
      </c>
      <c r="E202" s="364">
        <f>E153</f>
        <v>3753327.5419645915</v>
      </c>
      <c r="F202" s="406">
        <f t="shared" ref="F202" si="13">F153</f>
        <v>7835663.2621733444</v>
      </c>
      <c r="G202" s="364">
        <f>I153</f>
        <v>3276495.7286533648</v>
      </c>
    </row>
    <row r="203" spans="3:7">
      <c r="D203" s="406" t="s">
        <v>131</v>
      </c>
      <c r="E203" s="364">
        <f t="shared" ref="E203:F204" si="14">E154</f>
        <v>6383669.575536265</v>
      </c>
      <c r="F203" s="406">
        <f t="shared" si="14"/>
        <v>12400017.039169205</v>
      </c>
      <c r="G203" s="364">
        <f>I154</f>
        <v>5771972.3115760563</v>
      </c>
    </row>
    <row r="204" spans="3:7">
      <c r="D204" s="406" t="s">
        <v>23</v>
      </c>
      <c r="E204" s="364">
        <f t="shared" si="14"/>
        <v>9194599.1091079377</v>
      </c>
      <c r="F204" s="406">
        <f t="shared" si="14"/>
        <v>16770867.130811661</v>
      </c>
      <c r="G204" s="364">
        <f>I155</f>
        <v>8266755.1444987487</v>
      </c>
    </row>
    <row r="206" spans="3:7">
      <c r="C206" s="429">
        <v>32</v>
      </c>
      <c r="D206" s="404" t="s">
        <v>593</v>
      </c>
      <c r="E206" s="399" t="s">
        <v>15</v>
      </c>
      <c r="F206" s="399" t="s">
        <v>16</v>
      </c>
      <c r="G206" s="399" t="s">
        <v>17</v>
      </c>
    </row>
    <row r="207" spans="3:7">
      <c r="D207" s="397" t="s">
        <v>464</v>
      </c>
      <c r="E207" s="364">
        <f ca="1">E112</f>
        <v>56000000</v>
      </c>
      <c r="F207" s="364">
        <f t="shared" ref="F207:G207" ca="1" si="15">F112</f>
        <v>103000000</v>
      </c>
      <c r="G207" s="364">
        <f t="shared" ca="1" si="15"/>
        <v>49000000</v>
      </c>
    </row>
    <row r="208" spans="3:7">
      <c r="D208" s="397" t="s">
        <v>465</v>
      </c>
      <c r="E208" s="364">
        <f ca="1">E113</f>
        <v>73000000</v>
      </c>
      <c r="F208" s="364">
        <f t="shared" ref="F208:G208" ca="1" si="16">F113</f>
        <v>156000000</v>
      </c>
      <c r="G208" s="364">
        <f t="shared" ca="1" si="16"/>
        <v>66000000</v>
      </c>
    </row>
    <row r="210" spans="3:13">
      <c r="C210" s="429">
        <v>32</v>
      </c>
      <c r="D210" s="404" t="s">
        <v>602</v>
      </c>
      <c r="E210" s="399" t="s">
        <v>15</v>
      </c>
      <c r="F210" s="399" t="s">
        <v>16</v>
      </c>
      <c r="G210" s="399" t="s">
        <v>17</v>
      </c>
    </row>
    <row r="211" spans="3:13">
      <c r="D211" s="406" t="s">
        <v>464</v>
      </c>
      <c r="E211" s="364">
        <f>E158</f>
        <v>57000000</v>
      </c>
      <c r="F211" s="364">
        <f t="shared" ref="F211" si="17">F158</f>
        <v>81000000</v>
      </c>
      <c r="G211" s="364">
        <f>I158</f>
        <v>43000000</v>
      </c>
    </row>
    <row r="212" spans="3:13">
      <c r="D212" s="406" t="s">
        <v>465</v>
      </c>
      <c r="E212" s="364">
        <f>E159</f>
        <v>81000000</v>
      </c>
      <c r="F212" s="364">
        <f t="shared" ref="F212" si="18">F159</f>
        <v>128000000</v>
      </c>
      <c r="G212" s="364">
        <f>I159</f>
        <v>65000000</v>
      </c>
    </row>
    <row r="213" spans="3:13">
      <c r="E213" s="309"/>
      <c r="F213" s="309"/>
      <c r="G213" s="309"/>
      <c r="H213" s="309"/>
      <c r="I213" s="309"/>
      <c r="J213" s="309"/>
      <c r="K213" s="309"/>
      <c r="L213" s="309"/>
      <c r="M213" s="179"/>
    </row>
    <row r="214" spans="3:13">
      <c r="C214" s="430" t="s">
        <v>678</v>
      </c>
      <c r="D214" s="395" t="s">
        <v>587</v>
      </c>
      <c r="E214" s="399" t="s">
        <v>15</v>
      </c>
      <c r="F214" s="399" t="s">
        <v>16</v>
      </c>
      <c r="G214" s="399" t="s">
        <v>17</v>
      </c>
      <c r="H214" s="309"/>
      <c r="I214" s="309"/>
      <c r="J214" s="309"/>
      <c r="K214" s="309"/>
      <c r="L214" s="309"/>
      <c r="M214" s="179"/>
    </row>
    <row r="215" spans="3:13">
      <c r="D215" s="400" t="s">
        <v>554</v>
      </c>
      <c r="E215" s="364">
        <v>78000000</v>
      </c>
      <c r="F215" s="364">
        <v>163000000</v>
      </c>
      <c r="G215" s="364">
        <v>88000000</v>
      </c>
      <c r="H215" s="440" t="s">
        <v>679</v>
      </c>
      <c r="I215" s="309"/>
      <c r="J215" s="309"/>
      <c r="K215" s="309"/>
      <c r="L215" s="309"/>
      <c r="M215" s="179"/>
    </row>
    <row r="216" spans="3:13">
      <c r="D216" s="400" t="s">
        <v>555</v>
      </c>
      <c r="E216" s="364">
        <v>73000000</v>
      </c>
      <c r="F216" s="364">
        <v>156000000</v>
      </c>
      <c r="G216" s="364">
        <v>66000000</v>
      </c>
      <c r="H216" s="440" t="s">
        <v>679</v>
      </c>
      <c r="I216" s="309"/>
      <c r="J216" s="309"/>
      <c r="K216" s="309"/>
      <c r="L216" s="309"/>
      <c r="M216" s="179"/>
    </row>
    <row r="217" spans="3:13">
      <c r="D217" s="400" t="s">
        <v>556</v>
      </c>
      <c r="E217" s="365">
        <v>-6.4102564102564097E-2</v>
      </c>
      <c r="F217" s="365">
        <v>-4.2944785276073622E-2</v>
      </c>
      <c r="G217" s="365">
        <v>-0.25</v>
      </c>
      <c r="H217" s="440" t="s">
        <v>679</v>
      </c>
      <c r="I217" s="309"/>
      <c r="J217" s="309"/>
      <c r="K217" s="309"/>
      <c r="L217" s="309"/>
      <c r="M217" s="179"/>
    </row>
    <row r="219" spans="3:13">
      <c r="C219" s="429">
        <v>39</v>
      </c>
      <c r="D219" s="404" t="s">
        <v>628</v>
      </c>
      <c r="E219" s="399" t="s">
        <v>15</v>
      </c>
    </row>
    <row r="220" spans="3:13">
      <c r="D220" s="397" t="s">
        <v>28</v>
      </c>
      <c r="E220" s="405">
        <f ca="1">INDEX('Independent Per CP Summary'!$D$46:$K$69,MATCH(Graphs!$D220,'Independent Per CP Summary'!$D$46:$D$69,FALSE),MATCH(Graphs!$E$219,'Independent Per CP Summary'!$D$46:$K$46,FALSE))</f>
        <v>300000</v>
      </c>
    </row>
    <row r="221" spans="3:13">
      <c r="D221" s="397" t="s">
        <v>268</v>
      </c>
      <c r="E221" s="405">
        <f ca="1">INDEX('Independent Per CP Summary'!$D$46:$K$69,MATCH(Graphs!$D221,'Independent Per CP Summary'!$D$46:$D$69,FALSE),MATCH(Graphs!$E$219,'Independent Per CP Summary'!$D$46:$K$46,FALSE))</f>
        <v>60000</v>
      </c>
    </row>
    <row r="222" spans="3:13">
      <c r="D222" s="397" t="s">
        <v>266</v>
      </c>
      <c r="E222" s="405">
        <f ca="1">INDEX('Independent Per CP Summary'!$D$46:$K$69,MATCH(Graphs!$D222,'Independent Per CP Summary'!$D$46:$D$69,FALSE),MATCH(Graphs!$E$219,'Independent Per CP Summary'!$D$46:$K$46,FALSE))</f>
        <v>0</v>
      </c>
    </row>
    <row r="223" spans="3:13">
      <c r="D223" s="397" t="s">
        <v>30</v>
      </c>
      <c r="E223" s="405">
        <f>INDEX('Independent Per CP Summary'!$D$46:$K$69,MATCH(Graphs!$D223,'Independent Per CP Summary'!$D$46:$D$69,FALSE),MATCH(Graphs!$E$219,'Independent Per CP Summary'!$D$46:$K$46,FALSE))</f>
        <v>200000</v>
      </c>
    </row>
    <row r="224" spans="3:13">
      <c r="D224" s="397" t="s">
        <v>31</v>
      </c>
      <c r="E224" s="405">
        <f ca="1">INDEX('Independent Per CP Summary'!$D$46:$K$69,MATCH(Graphs!$D224,'Independent Per CP Summary'!$D$46:$D$69,FALSE),MATCH(Graphs!$E$219,'Independent Per CP Summary'!$D$46:$K$46,FALSE))</f>
        <v>200000</v>
      </c>
    </row>
    <row r="225" spans="3:5">
      <c r="D225" s="397" t="s">
        <v>32</v>
      </c>
      <c r="E225" s="405">
        <f ca="1">INDEX('Independent Per CP Summary'!$D$46:$K$69,MATCH(Graphs!$D225,'Independent Per CP Summary'!$D$46:$D$69,FALSE),MATCH(Graphs!$E$219,'Independent Per CP Summary'!$D$46:$K$46,FALSE))</f>
        <v>190000</v>
      </c>
    </row>
    <row r="226" spans="3:5">
      <c r="D226" s="397" t="s">
        <v>33</v>
      </c>
      <c r="E226" s="405">
        <f ca="1">INDEX('Independent Per CP Summary'!$D$46:$K$69,MATCH(Graphs!$D226,'Independent Per CP Summary'!$D$46:$D$69,FALSE),MATCH(Graphs!$E$219,'Independent Per CP Summary'!$D$46:$K$46,FALSE))</f>
        <v>75000</v>
      </c>
    </row>
    <row r="227" spans="3:5">
      <c r="D227" s="397" t="s">
        <v>34</v>
      </c>
      <c r="E227" s="405">
        <f ca="1">INDEX('Independent Per CP Summary'!$D$46:$K$69,MATCH(Graphs!$D227,'Independent Per CP Summary'!$D$46:$D$69,FALSE),MATCH(Graphs!$E$219,'Independent Per CP Summary'!$D$46:$K$46,FALSE))</f>
        <v>75000</v>
      </c>
    </row>
    <row r="228" spans="3:5">
      <c r="D228" s="397" t="s">
        <v>35</v>
      </c>
      <c r="E228" s="405">
        <f ca="1">INDEX('Independent Per CP Summary'!$D$46:$K$69,MATCH(Graphs!$D228,'Independent Per CP Summary'!$D$46:$D$69,FALSE),MATCH(Graphs!$E$219,'Independent Per CP Summary'!$D$46:$K$46,FALSE))</f>
        <v>30000</v>
      </c>
    </row>
    <row r="229" spans="3:5">
      <c r="D229" s="397" t="s">
        <v>71</v>
      </c>
      <c r="E229" s="405">
        <f ca="1">INDEX('Independent Per CP Summary'!$D$46:$K$69,MATCH(Graphs!$D229,'Independent Per CP Summary'!$D$46:$D$69,FALSE),MATCH(Graphs!$E$219,'Independent Per CP Summary'!$D$46:$K$46,FALSE))</f>
        <v>182500</v>
      </c>
    </row>
    <row r="230" spans="3:5">
      <c r="D230" s="397" t="s">
        <v>38</v>
      </c>
      <c r="E230" s="405">
        <f ca="1">INDEX('Independent Per CP Summary'!$D$46:$K$69,MATCH(Graphs!$D230,'Independent Per CP Summary'!$D$46:$D$69,FALSE),MATCH(Graphs!$E$219,'Independent Per CP Summary'!$D$46:$K$46,FALSE))</f>
        <v>360000</v>
      </c>
    </row>
    <row r="231" spans="3:5">
      <c r="D231" s="397" t="s">
        <v>39</v>
      </c>
      <c r="E231" s="405">
        <f>INDEX('Independent Per CP Summary'!$D$46:$K$69,MATCH(Graphs!$D231,'Independent Per CP Summary'!$D$46:$D$69,FALSE),MATCH(Graphs!$E$219,'Independent Per CP Summary'!$D$46:$K$46,FALSE))</f>
        <v>0</v>
      </c>
    </row>
    <row r="233" spans="3:5">
      <c r="C233" s="429">
        <v>39</v>
      </c>
      <c r="D233" s="404" t="s">
        <v>629</v>
      </c>
      <c r="E233" s="399" t="s">
        <v>15</v>
      </c>
    </row>
    <row r="234" spans="3:5">
      <c r="D234" s="397" t="s">
        <v>28</v>
      </c>
      <c r="E234" s="405">
        <f ca="1">INDEX('Independent Per CP Summary'!$M$46:$Q$69,MATCH(Graphs!$D234,'Independent Per CP Summary'!$D$46:$D$69,FALSE),MATCH(Graphs!$E$233,'Independent Per CP Summary'!$M$46:$Q$46,FALSE))</f>
        <v>60000</v>
      </c>
    </row>
    <row r="235" spans="3:5">
      <c r="D235" s="397" t="s">
        <v>268</v>
      </c>
      <c r="E235" s="405">
        <f ca="1">INDEX('Independent Per CP Summary'!$M$46:$Q$69,MATCH(Graphs!$D235,'Independent Per CP Summary'!$D$46:$D$69,FALSE),MATCH(Graphs!$E$233,'Independent Per CP Summary'!$M$46:$Q$46,FALSE))</f>
        <v>12000</v>
      </c>
    </row>
    <row r="236" spans="3:5">
      <c r="D236" s="397" t="s">
        <v>30</v>
      </c>
      <c r="E236" s="405">
        <f>INDEX('Independent Per CP Summary'!$M$46:$Q$69,MATCH(Graphs!$D236,'Independent Per CP Summary'!$D$46:$D$69,FALSE),MATCH(Graphs!$E$233,'Independent Per CP Summary'!$M$46:$Q$46,FALSE))</f>
        <v>0</v>
      </c>
    </row>
    <row r="237" spans="3:5">
      <c r="D237" s="397" t="s">
        <v>31</v>
      </c>
      <c r="E237" s="405">
        <f ca="1">INDEX('Independent Per CP Summary'!$M$46:$Q$69,MATCH(Graphs!$D237,'Independent Per CP Summary'!$D$46:$D$69,FALSE),MATCH(Graphs!$E$233,'Independent Per CP Summary'!$M$46:$Q$46,FALSE))</f>
        <v>40000</v>
      </c>
    </row>
    <row r="238" spans="3:5">
      <c r="D238" s="397" t="s">
        <v>32</v>
      </c>
      <c r="E238" s="405">
        <f ca="1">INDEX('Independent Per CP Summary'!$M$46:$Q$69,MATCH(Graphs!$D238,'Independent Per CP Summary'!$D$46:$D$69,FALSE),MATCH(Graphs!$E$233,'Independent Per CP Summary'!$M$46:$Q$46,FALSE))</f>
        <v>38000</v>
      </c>
    </row>
    <row r="239" spans="3:5">
      <c r="D239" s="397" t="s">
        <v>33</v>
      </c>
      <c r="E239" s="405">
        <f ca="1">INDEX('Independent Per CP Summary'!$M$46:$Q$69,MATCH(Graphs!$D239,'Independent Per CP Summary'!$D$46:$D$69,FALSE),MATCH(Graphs!$E$233,'Independent Per CP Summary'!$M$46:$Q$46,FALSE))</f>
        <v>15000</v>
      </c>
    </row>
    <row r="240" spans="3:5">
      <c r="D240" s="397" t="s">
        <v>34</v>
      </c>
      <c r="E240" s="405">
        <f ca="1">INDEX('Independent Per CP Summary'!$M$46:$Q$69,MATCH(Graphs!$D240,'Independent Per CP Summary'!$D$46:$D$69,FALSE),MATCH(Graphs!$E$233,'Independent Per CP Summary'!$M$46:$Q$46,FALSE))</f>
        <v>15000</v>
      </c>
    </row>
    <row r="241" spans="3:5">
      <c r="D241" s="397" t="s">
        <v>35</v>
      </c>
      <c r="E241" s="405">
        <f ca="1">INDEX('Independent Per CP Summary'!$M$46:$Q$69,MATCH(Graphs!$D241,'Independent Per CP Summary'!$D$46:$D$69,FALSE),MATCH(Graphs!$E$233,'Independent Per CP Summary'!$M$46:$Q$46,FALSE))</f>
        <v>6000</v>
      </c>
    </row>
    <row r="242" spans="3:5">
      <c r="D242" s="397" t="s">
        <v>71</v>
      </c>
      <c r="E242" s="405">
        <f ca="1">INDEX('Independent Per CP Summary'!$M$46:$Q$69,MATCH(Graphs!$D242,'Independent Per CP Summary'!$D$46:$D$69,FALSE),MATCH(Graphs!$E$233,'Independent Per CP Summary'!$M$46:$Q$46,FALSE))</f>
        <v>36500</v>
      </c>
    </row>
    <row r="243" spans="3:5">
      <c r="D243" s="397" t="s">
        <v>38</v>
      </c>
      <c r="E243" s="405">
        <f ca="1">INDEX('Independent Per CP Summary'!$M$46:$Q$69,MATCH(Graphs!$D243,'Independent Per CP Summary'!$D$46:$D$69,FALSE),MATCH(Graphs!$E$233,'Independent Per CP Summary'!$M$46:$Q$46,FALSE))</f>
        <v>72000</v>
      </c>
    </row>
    <row r="244" spans="3:5">
      <c r="D244" s="397" t="s">
        <v>39</v>
      </c>
      <c r="E244" s="405">
        <f ca="1">INDEX('Independent Per CP Summary'!$M$46:$Q$69,MATCH(Graphs!$D244,'Independent Per CP Summary'!$D$46:$D$69,FALSE),MATCH(Graphs!$E$233,'Independent Per CP Summary'!$M$46:$Q$46,FALSE))</f>
        <v>399792.95906669361</v>
      </c>
    </row>
    <row r="246" spans="3:5">
      <c r="C246" s="429">
        <v>40</v>
      </c>
      <c r="D246" s="404" t="s">
        <v>652</v>
      </c>
      <c r="E246" s="399" t="s">
        <v>649</v>
      </c>
    </row>
    <row r="247" spans="3:5">
      <c r="D247" s="397" t="s">
        <v>28</v>
      </c>
      <c r="E247" s="405">
        <f ca="1">INDEX('Independent Per CP Summary'!$D$46:$K$69,MATCH(Graphs!$D247,'Independent Per CP Summary'!$D$46:$D$69,FALSE),MATCH(Graphs!$E$246,'Independent Per CP Summary'!$D$46:$K$46,FALSE))</f>
        <v>250000</v>
      </c>
    </row>
    <row r="248" spans="3:5">
      <c r="D248" s="397" t="s">
        <v>268</v>
      </c>
      <c r="E248" s="405">
        <f ca="1">INDEX('Independent Per CP Summary'!$D$46:$K$69,MATCH(Graphs!$D248,'Independent Per CP Summary'!$D$46:$D$69,FALSE),MATCH(Graphs!$E$246,'Independent Per CP Summary'!$D$46:$K$46,FALSE))</f>
        <v>60000</v>
      </c>
    </row>
    <row r="249" spans="3:5">
      <c r="D249" s="397" t="s">
        <v>30</v>
      </c>
      <c r="E249" s="405">
        <f>INDEX('Independent Per CP Summary'!$D$46:$K$69,MATCH(Graphs!$D249,'Independent Per CP Summary'!$D$46:$D$69,FALSE),MATCH(Graphs!$E$246,'Independent Per CP Summary'!$D$46:$K$46,FALSE))</f>
        <v>0</v>
      </c>
    </row>
    <row r="250" spans="3:5">
      <c r="D250" s="397" t="s">
        <v>31</v>
      </c>
      <c r="E250" s="405">
        <f ca="1">INDEX('Independent Per CP Summary'!$D$46:$K$69,MATCH(Graphs!$D250,'Independent Per CP Summary'!$D$46:$D$69,FALSE),MATCH(Graphs!$E$246,'Independent Per CP Summary'!$D$46:$K$46,FALSE))</f>
        <v>200000</v>
      </c>
    </row>
    <row r="251" spans="3:5">
      <c r="D251" s="397" t="s">
        <v>32</v>
      </c>
      <c r="E251" s="405">
        <f ca="1">INDEX('Independent Per CP Summary'!$D$46:$K$69,MATCH(Graphs!$D251,'Independent Per CP Summary'!$D$46:$D$69,FALSE),MATCH(Graphs!$E$246,'Independent Per CP Summary'!$D$46:$K$46,FALSE))</f>
        <v>190000</v>
      </c>
    </row>
    <row r="252" spans="3:5">
      <c r="D252" s="397" t="s">
        <v>33</v>
      </c>
      <c r="E252" s="405">
        <f ca="1">INDEX('Independent Per CP Summary'!$D$46:$K$69,MATCH(Graphs!$D252,'Independent Per CP Summary'!$D$46:$D$69,FALSE),MATCH(Graphs!$E$246,'Independent Per CP Summary'!$D$46:$K$46,FALSE))</f>
        <v>75000</v>
      </c>
    </row>
    <row r="253" spans="3:5">
      <c r="D253" s="397" t="s">
        <v>34</v>
      </c>
      <c r="E253" s="405">
        <f ca="1">INDEX('Independent Per CP Summary'!$D$46:$K$69,MATCH(Graphs!$D253,'Independent Per CP Summary'!$D$46:$D$69,FALSE),MATCH(Graphs!$E$246,'Independent Per CP Summary'!$D$46:$K$46,FALSE))</f>
        <v>75000</v>
      </c>
    </row>
    <row r="254" spans="3:5">
      <c r="D254" s="397" t="s">
        <v>35</v>
      </c>
      <c r="E254" s="405">
        <f ca="1">INDEX('Independent Per CP Summary'!$D$46:$K$69,MATCH(Graphs!$D254,'Independent Per CP Summary'!$D$46:$D$69,FALSE),MATCH(Graphs!$E$246,'Independent Per CP Summary'!$D$46:$K$46,FALSE))</f>
        <v>30000</v>
      </c>
    </row>
    <row r="255" spans="3:5">
      <c r="D255" s="397" t="s">
        <v>71</v>
      </c>
      <c r="E255" s="405">
        <f ca="1">INDEX('Independent Per CP Summary'!$D$46:$K$69,MATCH(Graphs!$D255,'Independent Per CP Summary'!$D$46:$D$69,FALSE),MATCH(Graphs!$E$246,'Independent Per CP Summary'!$D$46:$K$46,FALSE))</f>
        <v>182500</v>
      </c>
    </row>
    <row r="256" spans="3:5">
      <c r="D256" s="397" t="s">
        <v>38</v>
      </c>
      <c r="E256" s="405">
        <f ca="1">INDEX('Independent Per CP Summary'!$D$46:$K$69,MATCH(Graphs!$D256,'Independent Per CP Summary'!$D$46:$D$69,FALSE),MATCH(Graphs!$E$246,'Independent Per CP Summary'!$D$46:$K$46,FALSE))</f>
        <v>360000</v>
      </c>
    </row>
    <row r="257" spans="3:5">
      <c r="D257" s="397" t="s">
        <v>39</v>
      </c>
      <c r="E257" s="405">
        <f>INDEX('Independent Per CP Summary'!$D$46:$K$69,MATCH(Graphs!$D257,'Independent Per CP Summary'!$D$46:$D$69,FALSE),MATCH(Graphs!$E$246,'Independent Per CP Summary'!$D$46:$K$46,FALSE))</f>
        <v>0</v>
      </c>
    </row>
    <row r="259" spans="3:5">
      <c r="C259" s="429">
        <v>40</v>
      </c>
      <c r="D259" s="404" t="s">
        <v>653</v>
      </c>
      <c r="E259" s="399" t="s">
        <v>649</v>
      </c>
    </row>
    <row r="260" spans="3:5">
      <c r="D260" s="397" t="s">
        <v>28</v>
      </c>
      <c r="E260" s="405">
        <f ca="1">INDEX('Independent Per CP Summary'!$M$46:$Q$69,MATCH(Graphs!$D260,'Independent Per CP Summary'!$D$46:$D$69,FALSE),MATCH(Graphs!$E$259,'Independent Per CP Summary'!$M$46:$Q$46,FALSE))</f>
        <v>50000</v>
      </c>
    </row>
    <row r="261" spans="3:5">
      <c r="D261" s="397" t="s">
        <v>268</v>
      </c>
      <c r="E261" s="405">
        <f ca="1">INDEX('Independent Per CP Summary'!$M$46:$Q$69,MATCH(Graphs!$D261,'Independent Per CP Summary'!$D$46:$D$69,FALSE),MATCH(Graphs!$E$259,'Independent Per CP Summary'!$M$46:$Q$46,FALSE))</f>
        <v>12000</v>
      </c>
    </row>
    <row r="262" spans="3:5">
      <c r="D262" s="397" t="s">
        <v>30</v>
      </c>
      <c r="E262" s="405">
        <f>INDEX('Independent Per CP Summary'!$M$46:$Q$69,MATCH(Graphs!$D262,'Independent Per CP Summary'!$D$46:$D$69,FALSE),MATCH(Graphs!$E$259,'Independent Per CP Summary'!$M$46:$Q$46,FALSE))</f>
        <v>0</v>
      </c>
    </row>
    <row r="263" spans="3:5">
      <c r="D263" s="397" t="s">
        <v>31</v>
      </c>
      <c r="E263" s="405">
        <f ca="1">INDEX('Independent Per CP Summary'!$M$46:$Q$69,MATCH(Graphs!$D263,'Independent Per CP Summary'!$D$46:$D$69,FALSE),MATCH(Graphs!$E$259,'Independent Per CP Summary'!$M$46:$Q$46,FALSE))</f>
        <v>40000</v>
      </c>
    </row>
    <row r="264" spans="3:5">
      <c r="D264" s="397" t="s">
        <v>32</v>
      </c>
      <c r="E264" s="405">
        <f ca="1">INDEX('Independent Per CP Summary'!$M$46:$Q$69,MATCH(Graphs!$D264,'Independent Per CP Summary'!$D$46:$D$69,FALSE),MATCH(Graphs!$E$259,'Independent Per CP Summary'!$M$46:$Q$46,FALSE))</f>
        <v>38000</v>
      </c>
    </row>
    <row r="265" spans="3:5">
      <c r="D265" s="397" t="s">
        <v>33</v>
      </c>
      <c r="E265" s="405">
        <f ca="1">INDEX('Independent Per CP Summary'!$M$46:$Q$69,MATCH(Graphs!$D265,'Independent Per CP Summary'!$D$46:$D$69,FALSE),MATCH(Graphs!$E$259,'Independent Per CP Summary'!$M$46:$Q$46,FALSE))</f>
        <v>15000</v>
      </c>
    </row>
    <row r="266" spans="3:5">
      <c r="D266" s="397" t="s">
        <v>34</v>
      </c>
      <c r="E266" s="405">
        <f ca="1">INDEX('Independent Per CP Summary'!$M$46:$Q$69,MATCH(Graphs!$D266,'Independent Per CP Summary'!$D$46:$D$69,FALSE),MATCH(Graphs!$E$259,'Independent Per CP Summary'!$M$46:$Q$46,FALSE))</f>
        <v>15000</v>
      </c>
    </row>
    <row r="267" spans="3:5">
      <c r="D267" s="397" t="s">
        <v>35</v>
      </c>
      <c r="E267" s="405">
        <f ca="1">INDEX('Independent Per CP Summary'!$M$46:$Q$69,MATCH(Graphs!$D267,'Independent Per CP Summary'!$D$46:$D$69,FALSE),MATCH(Graphs!$E$259,'Independent Per CP Summary'!$M$46:$Q$46,FALSE))</f>
        <v>6000</v>
      </c>
    </row>
    <row r="268" spans="3:5">
      <c r="D268" s="397" t="s">
        <v>71</v>
      </c>
      <c r="E268" s="405">
        <f ca="1">INDEX('Independent Per CP Summary'!$M$46:$Q$69,MATCH(Graphs!$D268,'Independent Per CP Summary'!$D$46:$D$69,FALSE),MATCH(Graphs!$E$259,'Independent Per CP Summary'!$M$46:$Q$46,FALSE))</f>
        <v>36500</v>
      </c>
    </row>
    <row r="269" spans="3:5">
      <c r="D269" s="397" t="s">
        <v>38</v>
      </c>
      <c r="E269" s="405">
        <f ca="1">INDEX('Independent Per CP Summary'!$M$46:$Q$69,MATCH(Graphs!$D269,'Independent Per CP Summary'!$D$46:$D$69,FALSE),MATCH(Graphs!$E$259,'Independent Per CP Summary'!$M$46:$Q$46,FALSE))</f>
        <v>72000</v>
      </c>
    </row>
    <row r="270" spans="3:5">
      <c r="D270" s="397" t="s">
        <v>39</v>
      </c>
      <c r="E270" s="405">
        <f ca="1">INDEX('Independent Per CP Summary'!$M$46:$Q$69,MATCH(Graphs!$D270,'Independent Per CP Summary'!$D$46:$D$69,FALSE),MATCH(Graphs!$E$259,'Independent Per CP Summary'!$M$46:$Q$46,FALSE))</f>
        <v>627019.0308000464</v>
      </c>
    </row>
    <row r="271" spans="3:5">
      <c r="D271" s="397" t="s">
        <v>41</v>
      </c>
      <c r="E271" s="405">
        <f ca="1">INDEX('Independent Per CP Summary'!$M$46:$Q$69,MATCH(Graphs!$D271,'Independent Per CP Summary'!$D$46:$D$69,FALSE),MATCH(Graphs!$E$259,'Independent Per CP Summary'!$M$46:$Q$46,FALSE))</f>
        <v>915405.47731911577</v>
      </c>
    </row>
    <row r="273" spans="3:16">
      <c r="C273" s="429">
        <v>41</v>
      </c>
      <c r="D273" s="404" t="s">
        <v>654</v>
      </c>
      <c r="E273" s="399" t="s">
        <v>509</v>
      </c>
    </row>
    <row r="274" spans="3:16">
      <c r="D274" s="397" t="s">
        <v>28</v>
      </c>
      <c r="E274" s="405">
        <f ca="1">INDEX('Independent Per CP Summary'!$D$46:$K$69,MATCH(Graphs!$D274,'Independent Per CP Summary'!$D$46:$D$69,FALSE),MATCH(Graphs!$E$273,'Independent Per CP Summary'!$D$46:$K$46,FALSE))</f>
        <v>250000</v>
      </c>
    </row>
    <row r="275" spans="3:16">
      <c r="D275" s="397" t="s">
        <v>268</v>
      </c>
      <c r="E275" s="405">
        <f ca="1">INDEX('Independent Per CP Summary'!$D$46:$K$69,MATCH(Graphs!$D275,'Independent Per CP Summary'!$D$46:$D$69,FALSE),MATCH(Graphs!$E$273,'Independent Per CP Summary'!$D$46:$K$46,FALSE))</f>
        <v>60000</v>
      </c>
    </row>
    <row r="276" spans="3:16">
      <c r="D276" s="397" t="s">
        <v>30</v>
      </c>
      <c r="E276" s="405">
        <f>INDEX('Independent Per CP Summary'!$D$46:$K$69,MATCH(Graphs!$D276,'Independent Per CP Summary'!$D$46:$D$69,FALSE),MATCH(Graphs!$E$273,'Independent Per CP Summary'!$D$46:$K$46,FALSE))</f>
        <v>0</v>
      </c>
    </row>
    <row r="277" spans="3:16">
      <c r="D277" s="397" t="s">
        <v>31</v>
      </c>
      <c r="E277" s="405">
        <f ca="1">INDEX('Independent Per CP Summary'!$D$46:$K$69,MATCH(Graphs!$D277,'Independent Per CP Summary'!$D$46:$D$69,FALSE),MATCH(Graphs!$E$273,'Independent Per CP Summary'!$D$46:$K$46,FALSE))</f>
        <v>200000</v>
      </c>
    </row>
    <row r="278" spans="3:16">
      <c r="D278" s="397" t="s">
        <v>32</v>
      </c>
      <c r="E278" s="405">
        <f ca="1">INDEX('Independent Per CP Summary'!$D$46:$K$69,MATCH(Graphs!$D278,'Independent Per CP Summary'!$D$46:$D$69,FALSE),MATCH(Graphs!$E$273,'Independent Per CP Summary'!$D$46:$K$46,FALSE))</f>
        <v>190000</v>
      </c>
    </row>
    <row r="279" spans="3:16">
      <c r="D279" s="397" t="s">
        <v>33</v>
      </c>
      <c r="E279" s="405">
        <f ca="1">INDEX('Independent Per CP Summary'!$D$46:$K$69,MATCH(Graphs!$D279,'Independent Per CP Summary'!$D$46:$D$69,FALSE),MATCH(Graphs!$E$273,'Independent Per CP Summary'!$D$46:$K$46,FALSE))</f>
        <v>75000</v>
      </c>
    </row>
    <row r="280" spans="3:16">
      <c r="D280" s="397" t="s">
        <v>34</v>
      </c>
      <c r="E280" s="405">
        <f ca="1">INDEX('Independent Per CP Summary'!$D$46:$K$69,MATCH(Graphs!$D280,'Independent Per CP Summary'!$D$46:$D$69,FALSE),MATCH(Graphs!$E$273,'Independent Per CP Summary'!$D$46:$K$46,FALSE))</f>
        <v>75000</v>
      </c>
    </row>
    <row r="281" spans="3:16">
      <c r="D281" s="397" t="s">
        <v>35</v>
      </c>
      <c r="E281" s="405">
        <f ca="1">INDEX('Independent Per CP Summary'!$D$46:$K$69,MATCH(Graphs!$D281,'Independent Per CP Summary'!$D$46:$D$69,FALSE),MATCH(Graphs!$E$273,'Independent Per CP Summary'!$D$46:$K$46,FALSE))</f>
        <v>30000</v>
      </c>
    </row>
    <row r="282" spans="3:16">
      <c r="D282" s="397" t="s">
        <v>71</v>
      </c>
      <c r="E282" s="405">
        <f ca="1">INDEX('Independent Per CP Summary'!$D$46:$K$69,MATCH(Graphs!$D282,'Independent Per CP Summary'!$D$46:$D$69,FALSE),MATCH(Graphs!$E$273,'Independent Per CP Summary'!$D$46:$K$46,FALSE))</f>
        <v>182500</v>
      </c>
    </row>
    <row r="283" spans="3:16">
      <c r="D283" s="397" t="s">
        <v>38</v>
      </c>
      <c r="E283" s="405">
        <f ca="1">INDEX('Independent Per CP Summary'!$D$46:$K$69,MATCH(Graphs!$D283,'Independent Per CP Summary'!$D$46:$D$69,FALSE),MATCH(Graphs!$E$273,'Independent Per CP Summary'!$D$46:$K$46,FALSE))</f>
        <v>360000</v>
      </c>
    </row>
    <row r="284" spans="3:16">
      <c r="D284" s="397" t="s">
        <v>39</v>
      </c>
      <c r="E284" s="405">
        <f>INDEX('Independent Per CP Summary'!$D$46:$K$69,MATCH(Graphs!$D284,'Independent Per CP Summary'!$D$46:$D$69,FALSE),MATCH(Graphs!$E$273,'Independent Per CP Summary'!$D$46:$K$46,FALSE))</f>
        <v>0</v>
      </c>
    </row>
    <row r="285" spans="3:16">
      <c r="D285" s="183"/>
      <c r="E285" s="410"/>
      <c r="F285" s="277"/>
      <c r="G285" s="277"/>
      <c r="H285" s="277"/>
      <c r="I285" s="277"/>
      <c r="J285" s="277"/>
      <c r="P285" s="277"/>
    </row>
    <row r="286" spans="3:16">
      <c r="C286" s="429">
        <v>41</v>
      </c>
      <c r="D286" s="404" t="s">
        <v>655</v>
      </c>
      <c r="E286" s="399" t="s">
        <v>509</v>
      </c>
      <c r="F286" s="277"/>
      <c r="G286" s="277"/>
      <c r="H286" s="277"/>
      <c r="I286" s="277"/>
      <c r="J286" s="277"/>
      <c r="P286" s="277"/>
    </row>
    <row r="287" spans="3:16">
      <c r="D287" s="397" t="s">
        <v>28</v>
      </c>
      <c r="E287" s="405">
        <f ca="1">INDEX('Independent Per CP Summary'!$M$46:$Q$69,MATCH(Graphs!$D287,'Independent Per CP Summary'!$D$46:$D$69,FALSE),MATCH(Graphs!$E$286,'Independent Per CP Summary'!$M$46:$Q$46,FALSE))</f>
        <v>50000</v>
      </c>
      <c r="F287" s="277"/>
      <c r="G287" s="277"/>
      <c r="H287" s="277"/>
      <c r="I287" s="277"/>
      <c r="J287" s="277"/>
      <c r="P287" s="277"/>
    </row>
    <row r="288" spans="3:16">
      <c r="D288" s="397" t="s">
        <v>268</v>
      </c>
      <c r="E288" s="405">
        <f ca="1">INDEX('Independent Per CP Summary'!$M$46:$Q$69,MATCH(Graphs!$D288,'Independent Per CP Summary'!$D$46:$D$69,FALSE),MATCH(Graphs!$E$286,'Independent Per CP Summary'!$M$46:$Q$46,FALSE))</f>
        <v>12000</v>
      </c>
      <c r="F288" s="277"/>
      <c r="G288" s="277"/>
      <c r="H288" s="277"/>
      <c r="I288" s="277"/>
      <c r="J288" s="277"/>
      <c r="P288" s="277"/>
    </row>
    <row r="289" spans="3:16">
      <c r="D289" s="397" t="s">
        <v>30</v>
      </c>
      <c r="E289" s="405">
        <f>INDEX('Independent Per CP Summary'!$M$46:$Q$69,MATCH(Graphs!$D289,'Independent Per CP Summary'!$D$46:$D$69,FALSE),MATCH(Graphs!$E$286,'Independent Per CP Summary'!$M$46:$Q$46,FALSE))</f>
        <v>0</v>
      </c>
      <c r="F289" s="277"/>
      <c r="G289" s="277"/>
      <c r="H289" s="277"/>
      <c r="I289" s="277"/>
      <c r="J289" s="277"/>
      <c r="P289" s="277"/>
    </row>
    <row r="290" spans="3:16">
      <c r="D290" s="397" t="s">
        <v>31</v>
      </c>
      <c r="E290" s="405">
        <f ca="1">INDEX('Independent Per CP Summary'!$M$46:$Q$69,MATCH(Graphs!$D290,'Independent Per CP Summary'!$D$46:$D$69,FALSE),MATCH(Graphs!$E$286,'Independent Per CP Summary'!$M$46:$Q$46,FALSE))</f>
        <v>40000</v>
      </c>
      <c r="F290" s="277"/>
      <c r="G290" s="277"/>
      <c r="H290" s="277"/>
      <c r="I290" s="277"/>
      <c r="J290" s="277"/>
      <c r="P290" s="277"/>
    </row>
    <row r="291" spans="3:16">
      <c r="D291" s="397" t="s">
        <v>32</v>
      </c>
      <c r="E291" s="405">
        <f ca="1">INDEX('Independent Per CP Summary'!$M$46:$Q$69,MATCH(Graphs!$D291,'Independent Per CP Summary'!$D$46:$D$69,FALSE),MATCH(Graphs!$E$286,'Independent Per CP Summary'!$M$46:$Q$46,FALSE))</f>
        <v>38000</v>
      </c>
      <c r="F291" s="277"/>
      <c r="G291" s="277"/>
      <c r="H291" s="277"/>
      <c r="I291" s="277"/>
      <c r="J291" s="277"/>
      <c r="P291" s="277"/>
    </row>
    <row r="292" spans="3:16">
      <c r="D292" s="397" t="s">
        <v>33</v>
      </c>
      <c r="E292" s="405">
        <f ca="1">INDEX('Independent Per CP Summary'!$M$46:$Q$69,MATCH(Graphs!$D292,'Independent Per CP Summary'!$D$46:$D$69,FALSE),MATCH(Graphs!$E$286,'Independent Per CP Summary'!$M$46:$Q$46,FALSE))</f>
        <v>15000</v>
      </c>
      <c r="F292" s="277"/>
      <c r="G292" s="277"/>
      <c r="H292" s="277"/>
      <c r="I292" s="277"/>
      <c r="J292" s="277"/>
      <c r="P292" s="277"/>
    </row>
    <row r="293" spans="3:16">
      <c r="D293" s="397" t="s">
        <v>34</v>
      </c>
      <c r="E293" s="405">
        <f ca="1">INDEX('Independent Per CP Summary'!$M$46:$Q$69,MATCH(Graphs!$D293,'Independent Per CP Summary'!$D$46:$D$69,FALSE),MATCH(Graphs!$E$286,'Independent Per CP Summary'!$M$46:$Q$46,FALSE))</f>
        <v>15000</v>
      </c>
      <c r="F293" s="277"/>
      <c r="G293" s="277"/>
      <c r="H293" s="277"/>
      <c r="I293" s="277"/>
      <c r="J293" s="277"/>
      <c r="P293" s="277"/>
    </row>
    <row r="294" spans="3:16">
      <c r="D294" s="397" t="s">
        <v>35</v>
      </c>
      <c r="E294" s="405">
        <f ca="1">INDEX('Independent Per CP Summary'!$M$46:$Q$69,MATCH(Graphs!$D294,'Independent Per CP Summary'!$D$46:$D$69,FALSE),MATCH(Graphs!$E$286,'Independent Per CP Summary'!$M$46:$Q$46,FALSE))</f>
        <v>6000</v>
      </c>
      <c r="F294" s="277"/>
      <c r="G294" s="277"/>
      <c r="H294" s="277"/>
      <c r="I294" s="277"/>
      <c r="J294" s="277"/>
      <c r="P294" s="277"/>
    </row>
    <row r="295" spans="3:16">
      <c r="D295" s="397" t="s">
        <v>71</v>
      </c>
      <c r="E295" s="405">
        <f ca="1">INDEX('Independent Per CP Summary'!$M$46:$Q$69,MATCH(Graphs!$D295,'Independent Per CP Summary'!$D$46:$D$69,FALSE),MATCH(Graphs!$E$286,'Independent Per CP Summary'!$M$46:$Q$46,FALSE))</f>
        <v>36500</v>
      </c>
      <c r="F295" s="277"/>
      <c r="G295" s="277"/>
      <c r="H295" s="277"/>
      <c r="I295" s="277"/>
      <c r="J295" s="277"/>
      <c r="P295" s="277"/>
    </row>
    <row r="296" spans="3:16">
      <c r="D296" s="397" t="s">
        <v>38</v>
      </c>
      <c r="E296" s="405">
        <f ca="1">INDEX('Independent Per CP Summary'!$M$46:$Q$69,MATCH(Graphs!$D296,'Independent Per CP Summary'!$D$46:$D$69,FALSE),MATCH(Graphs!$E$286,'Independent Per CP Summary'!$M$46:$Q$46,FALSE))</f>
        <v>72000</v>
      </c>
      <c r="F296" s="277"/>
      <c r="G296" s="277"/>
      <c r="H296" s="277"/>
      <c r="I296" s="277"/>
      <c r="J296" s="277"/>
      <c r="P296" s="277"/>
    </row>
    <row r="297" spans="3:16">
      <c r="D297" s="397" t="s">
        <v>39</v>
      </c>
      <c r="E297" s="405">
        <f ca="1">INDEX('Independent Per CP Summary'!$M$46:$Q$69,MATCH(Graphs!$D297,'Independent Per CP Summary'!$D$46:$D$69,FALSE),MATCH(Graphs!$E$286,'Independent Per CP Summary'!$M$46:$Q$46,FALSE))</f>
        <v>-26255.925433342974</v>
      </c>
      <c r="F297" s="277"/>
      <c r="G297" s="277"/>
      <c r="H297" s="277"/>
      <c r="I297" s="277"/>
      <c r="J297" s="277"/>
      <c r="P297" s="277"/>
    </row>
    <row r="298" spans="3:16">
      <c r="D298" s="397" t="s">
        <v>41</v>
      </c>
      <c r="E298" s="405">
        <f ca="1">INDEX('Independent Per CP Summary'!$M$46:$Q$69,MATCH(Graphs!$D298,'Independent Per CP Summary'!$D$46:$D$69,FALSE),MATCH(Graphs!$E$286,'Independent Per CP Summary'!$M$46:$Q$46,FALSE))</f>
        <v>915405.47731911577</v>
      </c>
      <c r="F298" s="277"/>
      <c r="G298" s="277"/>
      <c r="H298" s="277"/>
      <c r="I298" s="277"/>
      <c r="J298" s="277"/>
      <c r="P298" s="277"/>
    </row>
    <row r="299" spans="3:16">
      <c r="D299" s="183"/>
      <c r="E299" s="352"/>
      <c r="F299" s="277"/>
      <c r="G299" s="277"/>
      <c r="H299" s="277"/>
      <c r="I299" s="277"/>
      <c r="J299" s="277"/>
      <c r="P299" s="277"/>
    </row>
    <row r="300" spans="3:16">
      <c r="C300" s="430" t="s">
        <v>194</v>
      </c>
      <c r="D300" s="404" t="s">
        <v>656</v>
      </c>
      <c r="E300" s="399" t="s">
        <v>650</v>
      </c>
      <c r="F300" s="277"/>
      <c r="G300" s="277"/>
      <c r="H300" s="277"/>
      <c r="I300" s="277"/>
      <c r="J300" s="277"/>
      <c r="P300" s="277"/>
    </row>
    <row r="301" spans="3:16">
      <c r="D301" s="397" t="s">
        <v>28</v>
      </c>
      <c r="E301" s="405">
        <f ca="1">INDEX('Independent Per CP Summary'!$D$46:$K$69,MATCH(Graphs!$D301,'Independent Per CP Summary'!$D$46:$D$69,FALSE),MATCH(Graphs!$E$300,'Independent Per CP Summary'!$D$46:$K$46,FALSE))</f>
        <v>250000</v>
      </c>
      <c r="F301" s="277"/>
      <c r="G301" s="277"/>
      <c r="H301" s="277"/>
      <c r="I301" s="277"/>
      <c r="J301" s="277"/>
      <c r="P301" s="277"/>
    </row>
    <row r="302" spans="3:16">
      <c r="D302" s="397" t="s">
        <v>268</v>
      </c>
      <c r="E302" s="405">
        <f ca="1">INDEX('Independent Per CP Summary'!$D$46:$K$69,MATCH(Graphs!$D302,'Independent Per CP Summary'!$D$46:$D$69,FALSE),MATCH(Graphs!$E$300,'Independent Per CP Summary'!$D$46:$K$46,FALSE))</f>
        <v>60000</v>
      </c>
      <c r="F302" s="277"/>
      <c r="G302" s="277"/>
      <c r="H302" s="277"/>
      <c r="I302" s="277"/>
      <c r="J302" s="277"/>
      <c r="P302" s="277"/>
    </row>
    <row r="303" spans="3:16">
      <c r="D303" s="397" t="s">
        <v>30</v>
      </c>
      <c r="E303" s="405">
        <f>INDEX('Independent Per CP Summary'!$D$46:$K$69,MATCH(Graphs!$D303,'Independent Per CP Summary'!$D$46:$D$69,FALSE),MATCH(Graphs!$E$300,'Independent Per CP Summary'!$D$46:$K$46,FALSE))</f>
        <v>0</v>
      </c>
      <c r="F303" s="277"/>
      <c r="G303" s="277"/>
      <c r="H303" s="277"/>
      <c r="I303" s="277"/>
      <c r="J303" s="277"/>
      <c r="P303" s="277"/>
    </row>
    <row r="304" spans="3:16">
      <c r="D304" s="397" t="s">
        <v>31</v>
      </c>
      <c r="E304" s="405">
        <f ca="1">INDEX('Independent Per CP Summary'!$D$46:$K$69,MATCH(Graphs!$D304,'Independent Per CP Summary'!$D$46:$D$69,FALSE),MATCH(Graphs!$E$300,'Independent Per CP Summary'!$D$46:$K$46,FALSE))</f>
        <v>200000</v>
      </c>
      <c r="F304" s="277"/>
      <c r="G304" s="277"/>
      <c r="H304" s="277"/>
      <c r="I304" s="277"/>
      <c r="J304" s="277"/>
      <c r="P304" s="277"/>
    </row>
    <row r="305" spans="3:16">
      <c r="D305" s="397" t="s">
        <v>32</v>
      </c>
      <c r="E305" s="405">
        <f ca="1">INDEX('Independent Per CP Summary'!$D$46:$K$69,MATCH(Graphs!$D305,'Independent Per CP Summary'!$D$46:$D$69,FALSE),MATCH(Graphs!$E$300,'Independent Per CP Summary'!$D$46:$K$46,FALSE))</f>
        <v>190000</v>
      </c>
      <c r="F305" s="277"/>
      <c r="G305" s="277"/>
      <c r="H305" s="277"/>
      <c r="I305" s="277"/>
      <c r="J305" s="277"/>
      <c r="P305" s="277"/>
    </row>
    <row r="306" spans="3:16">
      <c r="D306" s="397" t="s">
        <v>33</v>
      </c>
      <c r="E306" s="405">
        <f ca="1">INDEX('Independent Per CP Summary'!$D$46:$K$69,MATCH(Graphs!$D306,'Independent Per CP Summary'!$D$46:$D$69,FALSE),MATCH(Graphs!$E$300,'Independent Per CP Summary'!$D$46:$K$46,FALSE))</f>
        <v>75000</v>
      </c>
      <c r="F306" s="277"/>
      <c r="G306" s="277"/>
      <c r="H306" s="277"/>
      <c r="I306" s="277"/>
      <c r="J306" s="277"/>
      <c r="P306" s="277"/>
    </row>
    <row r="307" spans="3:16">
      <c r="D307" s="397" t="s">
        <v>34</v>
      </c>
      <c r="E307" s="405">
        <f ca="1">INDEX('Independent Per CP Summary'!$D$46:$K$69,MATCH(Graphs!$D307,'Independent Per CP Summary'!$D$46:$D$69,FALSE),MATCH(Graphs!$E$300,'Independent Per CP Summary'!$D$46:$K$46,FALSE))</f>
        <v>75000</v>
      </c>
      <c r="F307" s="277"/>
      <c r="G307" s="277"/>
      <c r="H307" s="277"/>
      <c r="I307" s="277"/>
      <c r="J307" s="277"/>
      <c r="P307" s="277"/>
    </row>
    <row r="308" spans="3:16">
      <c r="D308" s="397" t="s">
        <v>35</v>
      </c>
      <c r="E308" s="405">
        <f ca="1">INDEX('Independent Per CP Summary'!$D$46:$K$69,MATCH(Graphs!$D308,'Independent Per CP Summary'!$D$46:$D$69,FALSE),MATCH(Graphs!$E$300,'Independent Per CP Summary'!$D$46:$K$46,FALSE))</f>
        <v>30000</v>
      </c>
      <c r="F308" s="277"/>
      <c r="G308" s="277"/>
      <c r="H308" s="277"/>
      <c r="I308" s="277"/>
      <c r="J308" s="277"/>
      <c r="P308" s="277"/>
    </row>
    <row r="309" spans="3:16">
      <c r="D309" s="397" t="s">
        <v>71</v>
      </c>
      <c r="E309" s="405">
        <f ca="1">INDEX('Independent Per CP Summary'!$D$46:$K$69,MATCH(Graphs!$D309,'Independent Per CP Summary'!$D$46:$D$69,FALSE),MATCH(Graphs!$E$300,'Independent Per CP Summary'!$D$46:$K$46,FALSE))</f>
        <v>182500</v>
      </c>
      <c r="F309" s="277"/>
      <c r="G309" s="277"/>
      <c r="H309" s="277"/>
      <c r="I309" s="277"/>
      <c r="J309" s="277"/>
      <c r="P309" s="277"/>
    </row>
    <row r="310" spans="3:16">
      <c r="D310" s="397" t="s">
        <v>38</v>
      </c>
      <c r="E310" s="405">
        <f ca="1">INDEX('Independent Per CP Summary'!$D$46:$K$69,MATCH(Graphs!$D310,'Independent Per CP Summary'!$D$46:$D$69,FALSE),MATCH(Graphs!$E$300,'Independent Per CP Summary'!$D$46:$K$46,FALSE))</f>
        <v>360000</v>
      </c>
      <c r="F310" s="277"/>
      <c r="G310" s="277"/>
      <c r="H310" s="277"/>
      <c r="I310" s="277"/>
      <c r="J310" s="277"/>
      <c r="P310" s="277"/>
    </row>
    <row r="311" spans="3:16">
      <c r="D311" s="397" t="s">
        <v>39</v>
      </c>
      <c r="E311" s="405">
        <f>INDEX('Independent Per CP Summary'!$D$46:$K$69,MATCH(Graphs!$D311,'Independent Per CP Summary'!$D$46:$D$69,FALSE),MATCH(Graphs!$E$300,'Independent Per CP Summary'!$D$46:$K$46,FALSE))</f>
        <v>0</v>
      </c>
      <c r="F311" s="277"/>
      <c r="G311" s="277"/>
      <c r="H311" s="277"/>
      <c r="I311" s="277"/>
      <c r="J311" s="277"/>
      <c r="P311" s="277"/>
    </row>
    <row r="312" spans="3:16">
      <c r="D312" s="183"/>
      <c r="E312" s="410"/>
      <c r="F312" s="277"/>
      <c r="G312" s="277"/>
      <c r="H312" s="277"/>
      <c r="I312" s="277"/>
      <c r="J312" s="277"/>
      <c r="P312" s="277"/>
    </row>
    <row r="313" spans="3:16">
      <c r="C313" s="430" t="s">
        <v>194</v>
      </c>
      <c r="D313" s="404" t="s">
        <v>657</v>
      </c>
      <c r="E313" s="399" t="s">
        <v>650</v>
      </c>
      <c r="F313" s="277"/>
      <c r="G313" s="277"/>
      <c r="H313" s="277"/>
      <c r="I313" s="277"/>
      <c r="J313" s="277"/>
      <c r="P313" s="277"/>
    </row>
    <row r="314" spans="3:16">
      <c r="D314" s="397" t="s">
        <v>28</v>
      </c>
      <c r="E314" s="405">
        <f ca="1">INDEX('Independent Per CP Summary'!$M$46:$Q$69,MATCH(Graphs!$D314,'Independent Per CP Summary'!$D$46:$D$69,FALSE),MATCH(Graphs!$E$313,'Independent Per CP Summary'!$M$46:$Q$46,FALSE))</f>
        <v>50000</v>
      </c>
      <c r="F314" s="277"/>
      <c r="G314" s="277"/>
      <c r="H314" s="277"/>
      <c r="I314" s="277"/>
      <c r="J314" s="277"/>
      <c r="P314" s="277"/>
    </row>
    <row r="315" spans="3:16">
      <c r="D315" s="397" t="s">
        <v>268</v>
      </c>
      <c r="E315" s="405">
        <f ca="1">INDEX('Independent Per CP Summary'!$M$46:$Q$69,MATCH(Graphs!$D315,'Independent Per CP Summary'!$D$46:$D$69,FALSE),MATCH(Graphs!$E$313,'Independent Per CP Summary'!$M$46:$Q$46,FALSE))</f>
        <v>12000</v>
      </c>
      <c r="F315" s="277"/>
      <c r="G315" s="277"/>
      <c r="H315" s="277"/>
      <c r="I315" s="277"/>
      <c r="J315" s="277"/>
      <c r="P315" s="277"/>
    </row>
    <row r="316" spans="3:16">
      <c r="D316" s="397" t="s">
        <v>30</v>
      </c>
      <c r="E316" s="405">
        <f>INDEX('Independent Per CP Summary'!$M$46:$Q$69,MATCH(Graphs!$D316,'Independent Per CP Summary'!$D$46:$D$69,FALSE),MATCH(Graphs!$E$313,'Independent Per CP Summary'!$M$46:$Q$46,FALSE))</f>
        <v>0</v>
      </c>
      <c r="F316" s="277"/>
      <c r="G316" s="277"/>
      <c r="H316" s="277"/>
      <c r="I316" s="277"/>
      <c r="J316" s="277"/>
      <c r="P316" s="277"/>
    </row>
    <row r="317" spans="3:16">
      <c r="D317" s="397" t="s">
        <v>31</v>
      </c>
      <c r="E317" s="405">
        <f ca="1">INDEX('Independent Per CP Summary'!$M$46:$Q$69,MATCH(Graphs!$D317,'Independent Per CP Summary'!$D$46:$D$69,FALSE),MATCH(Graphs!$E$313,'Independent Per CP Summary'!$M$46:$Q$46,FALSE))</f>
        <v>40000</v>
      </c>
      <c r="F317" s="277"/>
      <c r="G317" s="277"/>
      <c r="H317" s="277"/>
      <c r="I317" s="277"/>
      <c r="J317" s="277"/>
      <c r="P317" s="277"/>
    </row>
    <row r="318" spans="3:16">
      <c r="D318" s="397" t="s">
        <v>32</v>
      </c>
      <c r="E318" s="405">
        <f ca="1">INDEX('Independent Per CP Summary'!$M$46:$Q$69,MATCH(Graphs!$D318,'Independent Per CP Summary'!$D$46:$D$69,FALSE),MATCH(Graphs!$E$313,'Independent Per CP Summary'!$M$46:$Q$46,FALSE))</f>
        <v>38000</v>
      </c>
      <c r="F318" s="277"/>
      <c r="G318" s="277"/>
      <c r="H318" s="277"/>
      <c r="I318" s="277"/>
      <c r="J318" s="277"/>
      <c r="P318" s="277"/>
    </row>
    <row r="319" spans="3:16">
      <c r="D319" s="397" t="s">
        <v>33</v>
      </c>
      <c r="E319" s="405">
        <f ca="1">INDEX('Independent Per CP Summary'!$M$46:$Q$69,MATCH(Graphs!$D319,'Independent Per CP Summary'!$D$46:$D$69,FALSE),MATCH(Graphs!$E$313,'Independent Per CP Summary'!$M$46:$Q$46,FALSE))</f>
        <v>15000</v>
      </c>
      <c r="F319" s="277"/>
      <c r="G319" s="277"/>
      <c r="H319" s="277"/>
      <c r="I319" s="277"/>
      <c r="J319" s="277"/>
      <c r="P319" s="277"/>
    </row>
    <row r="320" spans="3:16">
      <c r="D320" s="397" t="s">
        <v>34</v>
      </c>
      <c r="E320" s="405">
        <f ca="1">INDEX('Independent Per CP Summary'!$M$46:$Q$69,MATCH(Graphs!$D320,'Independent Per CP Summary'!$D$46:$D$69,FALSE),MATCH(Graphs!$E$313,'Independent Per CP Summary'!$M$46:$Q$46,FALSE))</f>
        <v>15000</v>
      </c>
      <c r="F320" s="277"/>
      <c r="G320" s="277"/>
      <c r="H320" s="277"/>
      <c r="I320" s="277"/>
      <c r="J320" s="277"/>
      <c r="P320" s="277"/>
    </row>
    <row r="321" spans="3:16">
      <c r="D321" s="397" t="s">
        <v>35</v>
      </c>
      <c r="E321" s="405">
        <f ca="1">INDEX('Independent Per CP Summary'!$M$46:$Q$69,MATCH(Graphs!$D321,'Independent Per CP Summary'!$D$46:$D$69,FALSE),MATCH(Graphs!$E$313,'Independent Per CP Summary'!$M$46:$Q$46,FALSE))</f>
        <v>6000</v>
      </c>
      <c r="F321" s="277"/>
      <c r="G321" s="277"/>
      <c r="H321" s="277"/>
      <c r="I321" s="277"/>
      <c r="J321" s="277"/>
      <c r="P321" s="277"/>
    </row>
    <row r="322" spans="3:16">
      <c r="D322" s="397" t="s">
        <v>71</v>
      </c>
      <c r="E322" s="405">
        <f ca="1">INDEX('Independent Per CP Summary'!$M$46:$Q$69,MATCH(Graphs!$D322,'Independent Per CP Summary'!$D$46:$D$69,FALSE),MATCH(Graphs!$E$313,'Independent Per CP Summary'!$M$46:$Q$46,FALSE))</f>
        <v>36500</v>
      </c>
      <c r="F322" s="277"/>
      <c r="G322" s="277"/>
      <c r="H322" s="277"/>
      <c r="I322" s="277"/>
      <c r="J322" s="277"/>
      <c r="P322" s="277"/>
    </row>
    <row r="323" spans="3:16">
      <c r="D323" s="397" t="s">
        <v>38</v>
      </c>
      <c r="E323" s="405">
        <f ca="1">INDEX('Independent Per CP Summary'!$M$46:$Q$69,MATCH(Graphs!$D323,'Independent Per CP Summary'!$D$46:$D$69,FALSE),MATCH(Graphs!$E$313,'Independent Per CP Summary'!$M$46:$Q$46,FALSE))</f>
        <v>36500</v>
      </c>
      <c r="F323" s="277"/>
      <c r="G323" s="277"/>
      <c r="H323" s="277"/>
      <c r="I323" s="277"/>
      <c r="J323" s="277"/>
      <c r="P323" s="277"/>
    </row>
    <row r="324" spans="3:16">
      <c r="D324" s="397" t="s">
        <v>39</v>
      </c>
      <c r="E324" s="405">
        <f ca="1">INDEX('Independent Per CP Summary'!$M$46:$Q$69,MATCH(Graphs!$D324,'Independent Per CP Summary'!$D$46:$D$69,FALSE),MATCH(Graphs!$E$313,'Independent Per CP Summary'!$M$46:$Q$46,FALSE))</f>
        <v>-281885.25613336492</v>
      </c>
      <c r="F324" s="277"/>
      <c r="G324" s="277"/>
      <c r="H324" s="277"/>
      <c r="I324" s="277"/>
      <c r="J324" s="277"/>
      <c r="P324" s="277"/>
    </row>
    <row r="325" spans="3:16">
      <c r="D325" s="397" t="s">
        <v>41</v>
      </c>
      <c r="E325" s="405">
        <f ca="1">INDEX('Independent Per CP Summary'!$M$46:$Q$69,MATCH(Graphs!$D325,'Independent Per CP Summary'!$D$46:$D$69,FALSE),MATCH(Graphs!$E$313,'Independent Per CP Summary'!$M$46:$Q$46,FALSE))</f>
        <v>0</v>
      </c>
      <c r="F325" s="277"/>
      <c r="G325" s="277"/>
      <c r="H325" s="277"/>
      <c r="I325" s="277"/>
      <c r="J325" s="277"/>
      <c r="P325" s="277"/>
    </row>
    <row r="326" spans="3:16">
      <c r="D326" s="183"/>
      <c r="E326" s="410"/>
      <c r="F326" s="277"/>
      <c r="G326" s="277"/>
      <c r="H326" s="277"/>
      <c r="I326" s="277"/>
      <c r="J326" s="277"/>
      <c r="P326" s="277"/>
    </row>
    <row r="327" spans="3:16">
      <c r="C327" s="429">
        <v>42</v>
      </c>
      <c r="D327" s="404" t="s">
        <v>630</v>
      </c>
      <c r="E327" s="399" t="s">
        <v>17</v>
      </c>
      <c r="F327" s="277"/>
      <c r="G327" s="277"/>
      <c r="H327" s="277"/>
      <c r="I327" s="277"/>
      <c r="J327" s="277"/>
      <c r="P327" s="277"/>
    </row>
    <row r="328" spans="3:16">
      <c r="D328" s="397" t="s">
        <v>28</v>
      </c>
      <c r="E328" s="405">
        <f>INDEX('Independent Per CP Summary'!$D$46:$K$69,MATCH(Graphs!$D328,'Independent Per CP Summary'!$D$46:$D$69,FALSE),MATCH(Graphs!$E$327,'Independent Per CP Summary'!$D$46:$K$46,FALSE))</f>
        <v>0</v>
      </c>
      <c r="F328" s="277"/>
      <c r="G328" s="277"/>
      <c r="H328" s="277"/>
      <c r="I328" s="277"/>
      <c r="J328" s="277"/>
      <c r="P328" s="277"/>
    </row>
    <row r="329" spans="3:16">
      <c r="D329" s="397" t="s">
        <v>268</v>
      </c>
      <c r="E329" s="405">
        <f ca="1">INDEX('Independent Per CP Summary'!$D$46:$K$69,MATCH(Graphs!$D329,'Independent Per CP Summary'!$D$46:$D$69,FALSE),MATCH(Graphs!$E$327,'Independent Per CP Summary'!$D$46:$K$46,FALSE))</f>
        <v>60000</v>
      </c>
      <c r="F329" s="277"/>
      <c r="G329" s="277"/>
      <c r="H329" s="277"/>
      <c r="I329" s="277"/>
      <c r="J329" s="277"/>
      <c r="P329" s="277"/>
    </row>
    <row r="330" spans="3:16">
      <c r="D330" s="397" t="s">
        <v>30</v>
      </c>
      <c r="E330" s="405">
        <f>INDEX('Independent Per CP Summary'!$D$46:$K$69,MATCH(Graphs!$D330,'Independent Per CP Summary'!$D$46:$D$69,FALSE),MATCH(Graphs!$E$327,'Independent Per CP Summary'!$D$46:$K$46,FALSE))</f>
        <v>0</v>
      </c>
      <c r="F330" s="277"/>
      <c r="G330" s="277"/>
      <c r="H330" s="277"/>
      <c r="I330" s="277"/>
      <c r="J330" s="277"/>
      <c r="P330" s="277"/>
    </row>
    <row r="331" spans="3:16">
      <c r="D331" s="397" t="s">
        <v>31</v>
      </c>
      <c r="E331" s="405">
        <f ca="1">INDEX('Independent Per CP Summary'!$D$46:$K$69,MATCH(Graphs!$D331,'Independent Per CP Summary'!$D$46:$D$69,FALSE),MATCH(Graphs!$E$327,'Independent Per CP Summary'!$D$46:$K$46,FALSE))</f>
        <v>145000</v>
      </c>
      <c r="F331" s="277"/>
      <c r="G331" s="277"/>
      <c r="H331" s="277"/>
      <c r="I331" s="277"/>
      <c r="J331" s="277"/>
      <c r="P331" s="277"/>
    </row>
    <row r="332" spans="3:16">
      <c r="D332" s="397" t="s">
        <v>32</v>
      </c>
      <c r="E332" s="405">
        <f ca="1">INDEX('Independent Per CP Summary'!$D$46:$K$69,MATCH(Graphs!$D332,'Independent Per CP Summary'!$D$46:$D$69,FALSE),MATCH(Graphs!$E$327,'Independent Per CP Summary'!$D$46:$K$46,FALSE))</f>
        <v>100000</v>
      </c>
      <c r="F332" s="277"/>
      <c r="G332" s="277"/>
      <c r="H332" s="277"/>
      <c r="I332" s="277"/>
      <c r="J332" s="277"/>
      <c r="P332" s="277"/>
    </row>
    <row r="333" spans="3:16">
      <c r="D333" s="397" t="s">
        <v>33</v>
      </c>
      <c r="E333" s="405">
        <f ca="1">INDEX('Independent Per CP Summary'!$D$46:$K$69,MATCH(Graphs!$D333,'Independent Per CP Summary'!$D$46:$D$69,FALSE),MATCH(Graphs!$E$327,'Independent Per CP Summary'!$D$46:$K$46,FALSE))</f>
        <v>75000</v>
      </c>
      <c r="F333" s="277"/>
      <c r="G333" s="277"/>
      <c r="H333" s="277"/>
      <c r="I333" s="277"/>
      <c r="J333" s="277"/>
      <c r="P333" s="277"/>
    </row>
    <row r="334" spans="3:16">
      <c r="D334" s="397" t="s">
        <v>34</v>
      </c>
      <c r="E334" s="405">
        <f ca="1">INDEX('Independent Per CP Summary'!$D$46:$K$69,MATCH(Graphs!$D334,'Independent Per CP Summary'!$D$46:$D$69,FALSE),MATCH(Graphs!$E$327,'Independent Per CP Summary'!$D$46:$K$46,FALSE))</f>
        <v>75000</v>
      </c>
      <c r="F334" s="277"/>
      <c r="G334" s="277"/>
      <c r="H334" s="277"/>
      <c r="I334" s="277"/>
      <c r="J334" s="277"/>
      <c r="P334" s="277"/>
    </row>
    <row r="335" spans="3:16">
      <c r="D335" s="397" t="s">
        <v>35</v>
      </c>
      <c r="E335" s="405">
        <f ca="1">INDEX('Independent Per CP Summary'!$D$46:$K$69,MATCH(Graphs!$D335,'Independent Per CP Summary'!$D$46:$D$69,FALSE),MATCH(Graphs!$E$327,'Independent Per CP Summary'!$D$46:$K$46,FALSE))</f>
        <v>20000</v>
      </c>
      <c r="F335" s="277"/>
      <c r="G335" s="277"/>
      <c r="H335" s="277"/>
      <c r="I335" s="277"/>
      <c r="J335" s="277"/>
      <c r="P335" s="277"/>
    </row>
    <row r="336" spans="3:16">
      <c r="D336" s="397" t="s">
        <v>71</v>
      </c>
      <c r="E336" s="405">
        <f>INDEX('Independent Per CP Summary'!$D$46:$K$69,MATCH(Graphs!$D336,'Independent Per CP Summary'!$D$46:$D$69,FALSE),MATCH(Graphs!$E$327,'Independent Per CP Summary'!$D$46:$K$46,FALSE))</f>
        <v>0</v>
      </c>
      <c r="F336" s="277"/>
      <c r="G336" s="277"/>
      <c r="H336" s="277"/>
      <c r="I336" s="277"/>
      <c r="J336" s="277"/>
      <c r="P336" s="277"/>
    </row>
    <row r="337" spans="3:16">
      <c r="D337" s="397" t="s">
        <v>38</v>
      </c>
      <c r="E337" s="405">
        <f ca="1">INDEX('Independent Per CP Summary'!$D$46:$K$69,MATCH(Graphs!$D337,'Independent Per CP Summary'!$D$46:$D$69,FALSE),MATCH(Graphs!$E$327,'Independent Per CP Summary'!$D$46:$K$46,FALSE))</f>
        <v>92500</v>
      </c>
      <c r="F337" s="277"/>
      <c r="G337" s="277"/>
      <c r="H337" s="277"/>
      <c r="I337" s="277"/>
      <c r="J337" s="277"/>
      <c r="P337" s="277"/>
    </row>
    <row r="338" spans="3:16">
      <c r="D338" s="397" t="s">
        <v>39</v>
      </c>
      <c r="E338" s="405">
        <f>INDEX('Independent Per CP Summary'!$D$46:$K$69,MATCH(Graphs!$D338,'Independent Per CP Summary'!$D$46:$D$69,FALSE),MATCH(Graphs!$E$327,'Independent Per CP Summary'!$D$46:$K$46,FALSE))</f>
        <v>0</v>
      </c>
      <c r="F338" s="277"/>
      <c r="G338" s="277"/>
      <c r="H338" s="277"/>
      <c r="I338" s="277"/>
      <c r="J338" s="277"/>
      <c r="P338" s="277"/>
    </row>
    <row r="339" spans="3:16">
      <c r="E339" s="276"/>
      <c r="F339" s="277"/>
      <c r="G339" s="277"/>
      <c r="H339" s="277"/>
      <c r="I339" s="277"/>
      <c r="J339" s="277"/>
      <c r="P339" s="277"/>
    </row>
    <row r="340" spans="3:16">
      <c r="C340" s="429">
        <v>42</v>
      </c>
      <c r="D340" s="404" t="s">
        <v>631</v>
      </c>
      <c r="E340" s="399" t="s">
        <v>17</v>
      </c>
      <c r="F340" s="277"/>
      <c r="G340" s="277"/>
      <c r="H340" s="277"/>
      <c r="I340" s="277"/>
      <c r="J340" s="277"/>
      <c r="P340" s="277"/>
    </row>
    <row r="341" spans="3:16">
      <c r="D341" s="397" t="s">
        <v>28</v>
      </c>
      <c r="E341" s="405">
        <f>INDEX('Independent Per CP Summary'!$M$46:$Q$69,MATCH(Graphs!$D341,'Independent Per CP Summary'!$D$46:$D$69,FALSE),MATCH(Graphs!$E$340,'Independent Per CP Summary'!$M$46:$Q$46,FALSE))</f>
        <v>0</v>
      </c>
      <c r="F341" s="277"/>
      <c r="G341" s="277"/>
      <c r="H341" s="277"/>
      <c r="I341" s="277"/>
      <c r="J341" s="277"/>
      <c r="P341" s="277"/>
    </row>
    <row r="342" spans="3:16">
      <c r="D342" s="397" t="s">
        <v>268</v>
      </c>
      <c r="E342" s="405">
        <f ca="1">INDEX('Independent Per CP Summary'!$M$46:$Q$69,MATCH(Graphs!$D342,'Independent Per CP Summary'!$D$46:$D$69,FALSE),MATCH(Graphs!$E$340,'Independent Per CP Summary'!$M$46:$Q$46,FALSE))</f>
        <v>12000</v>
      </c>
      <c r="F342" s="277"/>
      <c r="G342" s="277"/>
      <c r="H342" s="277"/>
      <c r="I342" s="277"/>
      <c r="J342" s="277"/>
      <c r="P342" s="277"/>
    </row>
    <row r="343" spans="3:16">
      <c r="D343" s="397" t="s">
        <v>30</v>
      </c>
      <c r="E343" s="405">
        <f>INDEX('Independent Per CP Summary'!$M$46:$Q$69,MATCH(Graphs!$D343,'Independent Per CP Summary'!$D$46:$D$69,FALSE),MATCH(Graphs!$E$340,'Independent Per CP Summary'!$M$46:$Q$46,FALSE))</f>
        <v>0</v>
      </c>
      <c r="F343" s="277"/>
      <c r="G343" s="277"/>
      <c r="H343" s="277"/>
      <c r="I343" s="277"/>
      <c r="J343" s="277"/>
      <c r="P343" s="277"/>
    </row>
    <row r="344" spans="3:16">
      <c r="D344" s="397" t="s">
        <v>31</v>
      </c>
      <c r="E344" s="405">
        <f ca="1">INDEX('Independent Per CP Summary'!$M$46:$Q$69,MATCH(Graphs!$D344,'Independent Per CP Summary'!$D$46:$D$69,FALSE),MATCH(Graphs!$E$340,'Independent Per CP Summary'!$M$46:$Q$46,FALSE))</f>
        <v>29000</v>
      </c>
      <c r="F344" s="277"/>
      <c r="G344" s="277"/>
      <c r="H344" s="277"/>
      <c r="I344" s="277"/>
      <c r="J344" s="277"/>
      <c r="P344" s="277"/>
    </row>
    <row r="345" spans="3:16">
      <c r="D345" s="397" t="s">
        <v>32</v>
      </c>
      <c r="E345" s="405">
        <f ca="1">INDEX('Independent Per CP Summary'!$M$46:$Q$69,MATCH(Graphs!$D345,'Independent Per CP Summary'!$D$46:$D$69,FALSE),MATCH(Graphs!$E$340,'Independent Per CP Summary'!$M$46:$Q$46,FALSE))</f>
        <v>20000</v>
      </c>
      <c r="F345" s="277"/>
      <c r="G345" s="277"/>
      <c r="H345" s="277"/>
      <c r="I345" s="277"/>
      <c r="J345" s="277"/>
      <c r="P345" s="277"/>
    </row>
    <row r="346" spans="3:16">
      <c r="D346" s="397" t="s">
        <v>33</v>
      </c>
      <c r="E346" s="405">
        <f ca="1">INDEX('Independent Per CP Summary'!$M$46:$Q$69,MATCH(Graphs!$D346,'Independent Per CP Summary'!$D$46:$D$69,FALSE),MATCH(Graphs!$E$340,'Independent Per CP Summary'!$M$46:$Q$46,FALSE))</f>
        <v>15000</v>
      </c>
      <c r="F346" s="277"/>
      <c r="G346" s="277"/>
      <c r="H346" s="277"/>
      <c r="I346" s="277"/>
      <c r="J346" s="277"/>
      <c r="P346" s="277"/>
    </row>
    <row r="347" spans="3:16">
      <c r="D347" s="397" t="s">
        <v>34</v>
      </c>
      <c r="E347" s="405">
        <f ca="1">INDEX('Independent Per CP Summary'!$M$46:$Q$69,MATCH(Graphs!$D347,'Independent Per CP Summary'!$D$46:$D$69,FALSE),MATCH(Graphs!$E$340,'Independent Per CP Summary'!$M$46:$Q$46,FALSE))</f>
        <v>15000</v>
      </c>
      <c r="F347" s="277"/>
      <c r="G347" s="277"/>
      <c r="H347" s="277"/>
      <c r="I347" s="277"/>
      <c r="J347" s="277"/>
      <c r="P347" s="277"/>
    </row>
    <row r="348" spans="3:16">
      <c r="D348" s="397" t="s">
        <v>35</v>
      </c>
      <c r="E348" s="405">
        <f ca="1">INDEX('Independent Per CP Summary'!$M$46:$Q$69,MATCH(Graphs!$D348,'Independent Per CP Summary'!$D$46:$D$69,FALSE),MATCH(Graphs!$E$340,'Independent Per CP Summary'!$M$46:$Q$46,FALSE))</f>
        <v>4000</v>
      </c>
      <c r="F348" s="277"/>
      <c r="G348" s="277"/>
      <c r="H348" s="277"/>
      <c r="I348" s="277"/>
      <c r="J348" s="277"/>
      <c r="P348" s="277"/>
    </row>
    <row r="349" spans="3:16">
      <c r="D349" s="397" t="s">
        <v>71</v>
      </c>
      <c r="E349" s="405">
        <f>INDEX('Independent Per CP Summary'!$M$46:$Q$69,MATCH(Graphs!$D349,'Independent Per CP Summary'!$D$46:$D$69,FALSE),MATCH(Graphs!$E$340,'Independent Per CP Summary'!$M$46:$Q$46,FALSE))</f>
        <v>0</v>
      </c>
      <c r="F349" s="277"/>
      <c r="G349" s="277"/>
      <c r="H349" s="277"/>
      <c r="I349" s="277"/>
      <c r="J349" s="277"/>
      <c r="P349" s="277"/>
    </row>
    <row r="350" spans="3:16">
      <c r="D350" s="397" t="s">
        <v>38</v>
      </c>
      <c r="E350" s="405">
        <f ca="1">INDEX('Independent Per CP Summary'!$M$46:$Q$69,MATCH(Graphs!$D350,'Independent Per CP Summary'!$D$46:$D$69,FALSE),MATCH(Graphs!$E$340,'Independent Per CP Summary'!$M$46:$Q$46,FALSE))</f>
        <v>18500</v>
      </c>
      <c r="F350" s="277"/>
      <c r="G350" s="277"/>
      <c r="H350" s="277"/>
      <c r="I350" s="277"/>
      <c r="J350" s="277"/>
      <c r="P350" s="277"/>
    </row>
    <row r="351" spans="3:16">
      <c r="D351" s="397" t="s">
        <v>39</v>
      </c>
      <c r="E351" s="405">
        <f ca="1">INDEX('Independent Per CP Summary'!$M$46:$Q$69,MATCH(Graphs!$D351,'Independent Per CP Summary'!$D$46:$D$69,FALSE),MATCH(Graphs!$E$340,'Independent Per CP Summary'!$M$46:$Q$46,FALSE))</f>
        <v>740632.06666672276</v>
      </c>
      <c r="F351" s="277"/>
      <c r="G351" s="277"/>
      <c r="H351" s="277"/>
      <c r="I351" s="277"/>
      <c r="J351" s="277"/>
      <c r="P351" s="277"/>
    </row>
    <row r="353" spans="3:16">
      <c r="C353" s="431"/>
      <c r="D353" s="408"/>
      <c r="E353" s="409"/>
      <c r="F353" s="277"/>
      <c r="G353" s="277"/>
      <c r="H353" s="277"/>
      <c r="I353" s="277"/>
      <c r="J353" s="277"/>
      <c r="P353" s="277"/>
    </row>
    <row r="354" spans="3:16">
      <c r="C354" s="431"/>
      <c r="D354" s="209"/>
      <c r="E354" s="410"/>
      <c r="F354" s="277"/>
      <c r="G354" s="277"/>
      <c r="H354" s="277"/>
      <c r="I354" s="277"/>
      <c r="J354" s="277"/>
      <c r="P354" s="277"/>
    </row>
    <row r="355" spans="3:16">
      <c r="C355" s="431"/>
      <c r="D355" s="209"/>
      <c r="E355" s="410"/>
      <c r="F355" s="277"/>
      <c r="G355" s="277"/>
      <c r="H355" s="277"/>
      <c r="I355" s="277"/>
      <c r="J355" s="277"/>
      <c r="P355" s="277"/>
    </row>
    <row r="356" spans="3:16">
      <c r="C356" s="431"/>
      <c r="D356" s="209"/>
      <c r="E356" s="410"/>
      <c r="F356" s="277"/>
      <c r="G356" s="277"/>
      <c r="H356" s="277"/>
      <c r="I356" s="277"/>
      <c r="J356" s="277"/>
      <c r="P356" s="277"/>
    </row>
  </sheetData>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sheetPr codeName="Sheet37"/>
  <dimension ref="B2:S38"/>
  <sheetViews>
    <sheetView zoomScale="85" zoomScaleNormal="85" workbookViewId="0">
      <selection activeCell="G33" sqref="G33"/>
    </sheetView>
  </sheetViews>
  <sheetFormatPr defaultColWidth="9.140625" defaultRowHeight="15"/>
  <cols>
    <col min="1" max="1" width="9.140625" style="386"/>
    <col min="2" max="2" width="17.140625" style="387" customWidth="1"/>
    <col min="3" max="3" width="12.140625" style="387" customWidth="1"/>
    <col min="4" max="4" width="11.42578125" style="387" customWidth="1"/>
    <col min="5" max="5" width="12.7109375" style="386" customWidth="1"/>
    <col min="6" max="6" width="2" style="386" customWidth="1"/>
    <col min="7" max="10" width="12" style="386" customWidth="1"/>
    <col min="11" max="11" width="11" style="386" customWidth="1"/>
    <col min="12" max="22" width="12" style="386" customWidth="1"/>
    <col min="23" max="23" width="7.28515625" style="386" customWidth="1"/>
    <col min="24" max="24" width="11.28515625" style="386" customWidth="1"/>
    <col min="25" max="25" width="14.5703125" style="386" bestFit="1" customWidth="1"/>
    <col min="26" max="26" width="24.5703125" style="386" bestFit="1" customWidth="1"/>
    <col min="27" max="27" width="14.5703125" style="386" bestFit="1" customWidth="1"/>
    <col min="28" max="28" width="24.5703125" style="386" bestFit="1" customWidth="1"/>
    <col min="29" max="29" width="14.5703125" style="386" bestFit="1" customWidth="1"/>
    <col min="30" max="30" width="23.5703125" style="386" bestFit="1" customWidth="1"/>
    <col min="31" max="31" width="14.5703125" style="386" bestFit="1" customWidth="1"/>
    <col min="32" max="32" width="12" style="386" bestFit="1" customWidth="1"/>
    <col min="33" max="33" width="24.5703125" style="386" bestFit="1" customWidth="1"/>
    <col min="34" max="34" width="13.5703125" style="386" bestFit="1" customWidth="1"/>
    <col min="35" max="35" width="24.5703125" style="386" bestFit="1" customWidth="1"/>
    <col min="36" max="36" width="14.5703125" style="386" bestFit="1" customWidth="1"/>
    <col min="37" max="37" width="24.5703125" style="386" bestFit="1" customWidth="1"/>
    <col min="38" max="38" width="14.5703125" style="386" bestFit="1" customWidth="1"/>
    <col min="39" max="39" width="24.5703125" style="386" bestFit="1" customWidth="1"/>
    <col min="40" max="40" width="14.5703125" style="386" bestFit="1" customWidth="1"/>
    <col min="41" max="41" width="24.5703125" style="386" bestFit="1" customWidth="1"/>
    <col min="42" max="42" width="14.5703125" style="386" bestFit="1" customWidth="1"/>
    <col min="43" max="43" width="24.5703125" style="386" bestFit="1" customWidth="1"/>
    <col min="44" max="44" width="3.85546875" style="386" customWidth="1"/>
    <col min="45" max="45" width="12" style="386" bestFit="1" customWidth="1"/>
    <col min="46" max="46" width="6.85546875" style="386" customWidth="1"/>
    <col min="47" max="47" width="9.140625" style="386"/>
    <col min="48" max="48" width="12.140625" style="386" bestFit="1" customWidth="1"/>
    <col min="49" max="49" width="11.28515625" style="386" bestFit="1" customWidth="1"/>
    <col min="50" max="16384" width="9.140625" style="386"/>
  </cols>
  <sheetData>
    <row r="2" spans="2:19">
      <c r="B2" s="261" t="s">
        <v>0</v>
      </c>
      <c r="C2" s="261"/>
      <c r="D2" s="389" t="str">
        <f ca="1">MID(CELL("filename",A1),FIND("]",CELL("filename",A1))+1,256)</f>
        <v>Sensitivity Tables</v>
      </c>
    </row>
    <row r="3" spans="2:19">
      <c r="B3" s="261" t="s">
        <v>1</v>
      </c>
      <c r="C3" s="261"/>
      <c r="D3" s="277" t="s">
        <v>624</v>
      </c>
    </row>
    <row r="5" spans="2:19" s="259" customFormat="1" ht="12.75">
      <c r="B5" s="259" t="s">
        <v>622</v>
      </c>
      <c r="H5" s="260"/>
      <c r="I5" s="260"/>
      <c r="L5" s="260"/>
      <c r="S5" s="260"/>
    </row>
    <row r="7" spans="2:19" ht="15.75" thickBot="1">
      <c r="B7" s="413" t="s">
        <v>126</v>
      </c>
      <c r="C7" s="446" t="s">
        <v>15</v>
      </c>
      <c r="D7" s="414"/>
      <c r="I7" s="462" t="s">
        <v>690</v>
      </c>
      <c r="J7" s="462"/>
      <c r="K7" s="462"/>
      <c r="L7" s="462"/>
      <c r="M7" s="462"/>
      <c r="N7" s="462"/>
      <c r="O7" s="462"/>
      <c r="P7" s="462"/>
      <c r="Q7" s="462"/>
      <c r="R7" s="462"/>
    </row>
    <row r="8" spans="2:19" ht="15.75" thickTop="1">
      <c r="I8" s="462"/>
      <c r="J8" s="462"/>
      <c r="K8" s="462"/>
      <c r="L8" s="462"/>
      <c r="M8" s="462"/>
      <c r="N8" s="462"/>
      <c r="O8" s="462"/>
      <c r="P8" s="462"/>
      <c r="Q8" s="462"/>
      <c r="R8" s="462"/>
    </row>
    <row r="9" spans="2:19">
      <c r="B9" s="387" t="s">
        <v>244</v>
      </c>
      <c r="C9" s="387" t="s">
        <v>542</v>
      </c>
      <c r="D9" s="387" t="s">
        <v>543</v>
      </c>
      <c r="I9" s="462"/>
      <c r="J9" s="462"/>
      <c r="K9" s="462"/>
      <c r="L9" s="462"/>
      <c r="M9" s="462"/>
      <c r="N9" s="462"/>
      <c r="O9" s="462"/>
      <c r="P9" s="462"/>
      <c r="Q9" s="462"/>
      <c r="R9" s="462"/>
    </row>
    <row r="10" spans="2:19">
      <c r="B10" s="388" t="s">
        <v>533</v>
      </c>
      <c r="C10" s="442">
        <v>-8.6351406409115983E-2</v>
      </c>
      <c r="D10" s="442">
        <v>8.6351406409115317E-2</v>
      </c>
      <c r="I10" s="462"/>
      <c r="J10" s="462"/>
      <c r="K10" s="462"/>
      <c r="L10" s="462"/>
      <c r="M10" s="462"/>
      <c r="N10" s="462"/>
      <c r="O10" s="462"/>
      <c r="P10" s="462"/>
      <c r="Q10" s="462"/>
      <c r="R10" s="462"/>
    </row>
    <row r="11" spans="2:19">
      <c r="B11" s="388" t="s">
        <v>527</v>
      </c>
      <c r="C11" s="442">
        <v>-6.9470184195034812E-2</v>
      </c>
      <c r="D11" s="442">
        <v>6.9470184195034257E-2</v>
      </c>
      <c r="I11" s="462"/>
      <c r="J11" s="462"/>
      <c r="K11" s="462"/>
      <c r="L11" s="462"/>
      <c r="M11" s="462"/>
      <c r="N11" s="462"/>
      <c r="O11" s="462"/>
      <c r="P11" s="462"/>
      <c r="Q11" s="462"/>
      <c r="R11" s="462"/>
    </row>
    <row r="12" spans="2:19">
      <c r="B12" s="388" t="s">
        <v>529</v>
      </c>
      <c r="C12" s="442">
        <v>-3.2680176477887679E-2</v>
      </c>
      <c r="D12" s="442">
        <v>3.2680176477887235E-2</v>
      </c>
      <c r="I12" s="462"/>
      <c r="J12" s="462"/>
      <c r="K12" s="462"/>
      <c r="L12" s="462"/>
      <c r="M12" s="462"/>
      <c r="N12" s="462"/>
      <c r="O12" s="462"/>
      <c r="P12" s="462"/>
      <c r="Q12" s="462"/>
      <c r="R12" s="462"/>
    </row>
    <row r="13" spans="2:19">
      <c r="B13" s="388" t="s">
        <v>513</v>
      </c>
      <c r="C13" s="442">
        <v>-2.7091016040029725E-2</v>
      </c>
      <c r="D13" s="442">
        <v>2.7091016040029503E-2</v>
      </c>
      <c r="I13" s="462"/>
      <c r="J13" s="462"/>
      <c r="K13" s="462"/>
      <c r="L13" s="462"/>
      <c r="M13" s="462"/>
      <c r="N13" s="462"/>
      <c r="O13" s="462"/>
      <c r="P13" s="462"/>
      <c r="Q13" s="462"/>
      <c r="R13" s="462"/>
    </row>
    <row r="14" spans="2:19">
      <c r="B14" s="388" t="s">
        <v>302</v>
      </c>
      <c r="C14" s="442">
        <v>-2.1101527767601436E-2</v>
      </c>
      <c r="D14" s="442">
        <v>2.1101527767600992E-2</v>
      </c>
      <c r="I14" s="462"/>
      <c r="J14" s="462"/>
      <c r="K14" s="462"/>
      <c r="L14" s="462"/>
      <c r="M14" s="462"/>
      <c r="N14" s="462"/>
      <c r="O14" s="462"/>
      <c r="P14" s="462"/>
      <c r="Q14" s="462"/>
      <c r="R14" s="462"/>
    </row>
    <row r="15" spans="2:19">
      <c r="B15" s="388" t="s">
        <v>520</v>
      </c>
      <c r="C15" s="442">
        <v>-1.9250634321948179E-2</v>
      </c>
      <c r="D15" s="442">
        <v>1.9250634321948068E-2</v>
      </c>
      <c r="I15" s="462"/>
      <c r="J15" s="462"/>
      <c r="K15" s="462"/>
      <c r="L15" s="462"/>
      <c r="M15" s="462"/>
      <c r="N15" s="462"/>
      <c r="O15" s="462"/>
      <c r="P15" s="462"/>
      <c r="Q15" s="462"/>
      <c r="R15" s="462"/>
    </row>
    <row r="16" spans="2:19">
      <c r="B16" s="388" t="s">
        <v>530</v>
      </c>
      <c r="C16" s="442">
        <v>-1.6881222214081282E-2</v>
      </c>
      <c r="D16" s="442">
        <v>1.6881222214080838E-2</v>
      </c>
      <c r="I16" s="462"/>
      <c r="J16" s="462"/>
      <c r="K16" s="462"/>
      <c r="L16" s="462"/>
      <c r="M16" s="462"/>
      <c r="N16" s="462"/>
      <c r="O16" s="462"/>
      <c r="P16" s="462"/>
      <c r="Q16" s="462"/>
      <c r="R16" s="462"/>
    </row>
    <row r="17" spans="2:19">
      <c r="B17" s="388" t="s">
        <v>521</v>
      </c>
      <c r="C17" s="442">
        <v>1.6881222214080838E-2</v>
      </c>
      <c r="D17" s="442">
        <v>1.6881222214080838E-2</v>
      </c>
      <c r="I17" s="462"/>
      <c r="J17" s="462"/>
      <c r="K17" s="462"/>
      <c r="L17" s="462"/>
      <c r="M17" s="462"/>
      <c r="N17" s="462"/>
      <c r="O17" s="462"/>
      <c r="P17" s="462"/>
      <c r="Q17" s="462"/>
      <c r="R17" s="462"/>
    </row>
    <row r="18" spans="2:19">
      <c r="B18" s="388" t="s">
        <v>528</v>
      </c>
      <c r="C18" s="442">
        <v>-5.4681296087819575E-3</v>
      </c>
      <c r="D18" s="442">
        <v>5.4681296087815134E-3</v>
      </c>
      <c r="I18" s="462"/>
      <c r="J18" s="462"/>
      <c r="K18" s="462"/>
      <c r="L18" s="462"/>
      <c r="M18" s="462"/>
      <c r="N18" s="462"/>
      <c r="O18" s="462"/>
      <c r="P18" s="462"/>
      <c r="Q18" s="462"/>
      <c r="R18" s="462"/>
    </row>
    <row r="19" spans="2:19">
      <c r="B19"/>
      <c r="C19"/>
      <c r="D19"/>
      <c r="I19" s="462"/>
      <c r="J19" s="462"/>
      <c r="K19" s="462"/>
      <c r="L19" s="462"/>
      <c r="M19" s="462"/>
      <c r="N19" s="462"/>
      <c r="O19" s="462"/>
      <c r="P19" s="462"/>
      <c r="Q19" s="462"/>
      <c r="R19" s="462"/>
    </row>
    <row r="20" spans="2:19">
      <c r="B20" s="386"/>
      <c r="C20" s="386"/>
      <c r="D20" s="386"/>
      <c r="I20" s="462"/>
      <c r="J20" s="462"/>
      <c r="K20" s="462"/>
      <c r="L20" s="462"/>
      <c r="M20" s="462"/>
      <c r="N20" s="462"/>
      <c r="O20" s="462"/>
      <c r="P20" s="462"/>
      <c r="Q20" s="462"/>
      <c r="R20" s="462"/>
    </row>
    <row r="21" spans="2:19">
      <c r="I21" s="462"/>
      <c r="J21" s="462"/>
      <c r="K21" s="462"/>
      <c r="L21" s="462"/>
      <c r="M21" s="462"/>
      <c r="N21" s="462"/>
      <c r="O21" s="462"/>
      <c r="P21" s="462"/>
      <c r="Q21" s="462"/>
      <c r="R21" s="462"/>
    </row>
    <row r="22" spans="2:19">
      <c r="I22" s="462"/>
      <c r="J22" s="462"/>
      <c r="K22" s="462"/>
      <c r="L22" s="462"/>
      <c r="M22" s="462"/>
      <c r="N22" s="462"/>
      <c r="O22" s="462"/>
      <c r="P22" s="462"/>
      <c r="Q22" s="462"/>
      <c r="R22" s="462"/>
    </row>
    <row r="23" spans="2:19" s="259" customFormat="1" ht="12.75">
      <c r="B23" s="259" t="s">
        <v>623</v>
      </c>
      <c r="H23" s="260"/>
      <c r="I23" s="260"/>
      <c r="L23" s="260"/>
      <c r="S23" s="260"/>
    </row>
    <row r="24" spans="2:19" s="389" customFormat="1" ht="12.75">
      <c r="H24" s="390"/>
      <c r="I24" s="390"/>
      <c r="L24" s="390"/>
      <c r="S24" s="390"/>
    </row>
    <row r="25" spans="2:19">
      <c r="B25" s="413" t="s">
        <v>126</v>
      </c>
      <c r="C25" s="413" t="s">
        <v>17</v>
      </c>
      <c r="D25" s="414"/>
      <c r="I25" s="461"/>
      <c r="J25" s="461"/>
      <c r="K25" s="461"/>
      <c r="L25" s="461"/>
      <c r="M25" s="461"/>
      <c r="N25" s="461"/>
      <c r="O25" s="461"/>
    </row>
    <row r="26" spans="2:19">
      <c r="I26" s="461"/>
      <c r="J26" s="461"/>
      <c r="K26" s="461"/>
      <c r="L26" s="461"/>
      <c r="M26" s="461"/>
      <c r="N26" s="461"/>
      <c r="O26" s="461"/>
    </row>
    <row r="27" spans="2:19">
      <c r="B27" s="387" t="s">
        <v>244</v>
      </c>
      <c r="C27" s="387" t="s">
        <v>542</v>
      </c>
      <c r="D27" s="387" t="s">
        <v>543</v>
      </c>
      <c r="I27" s="461"/>
      <c r="J27" s="461"/>
      <c r="K27" s="461"/>
      <c r="L27" s="461"/>
      <c r="M27" s="461"/>
      <c r="N27" s="461"/>
      <c r="O27" s="461"/>
    </row>
    <row r="28" spans="2:19">
      <c r="B28" s="388" t="s">
        <v>533</v>
      </c>
      <c r="C28" s="442">
        <v>-0.16111601330204073</v>
      </c>
      <c r="D28" s="442">
        <v>0.16111601330204106</v>
      </c>
      <c r="I28" s="461"/>
      <c r="J28" s="461"/>
      <c r="K28" s="461"/>
      <c r="L28" s="461"/>
      <c r="M28" s="461"/>
      <c r="N28" s="461"/>
      <c r="O28" s="461"/>
    </row>
    <row r="29" spans="2:19">
      <c r="B29" s="388" t="s">
        <v>527</v>
      </c>
      <c r="C29" s="442">
        <v>-0.11110176349316547</v>
      </c>
      <c r="D29" s="442">
        <v>0.11110176349316547</v>
      </c>
      <c r="I29" s="461"/>
      <c r="J29" s="461"/>
      <c r="K29" s="461"/>
      <c r="L29" s="461"/>
      <c r="M29" s="461"/>
      <c r="N29" s="461"/>
      <c r="O29" s="461"/>
    </row>
    <row r="30" spans="2:19">
      <c r="B30" s="388" t="s">
        <v>302</v>
      </c>
      <c r="C30" s="442">
        <v>-6.2517812261093764E-2</v>
      </c>
      <c r="D30" s="442">
        <v>6.2517812261094097E-2</v>
      </c>
      <c r="I30" s="461"/>
      <c r="J30" s="461"/>
      <c r="K30" s="461"/>
      <c r="L30" s="461"/>
      <c r="M30" s="461"/>
      <c r="N30" s="461"/>
      <c r="O30" s="461"/>
    </row>
    <row r="31" spans="2:19">
      <c r="B31" s="388" t="s">
        <v>530</v>
      </c>
      <c r="C31" s="442">
        <v>-5.0014249808874811E-2</v>
      </c>
      <c r="D31" s="442">
        <v>5.0014249808874922E-2</v>
      </c>
      <c r="I31" s="461"/>
      <c r="J31" s="461"/>
      <c r="K31" s="461"/>
      <c r="L31" s="461"/>
      <c r="M31" s="461"/>
      <c r="N31" s="461"/>
      <c r="O31" s="461"/>
    </row>
    <row r="32" spans="2:19">
      <c r="B32" s="388" t="s">
        <v>529</v>
      </c>
      <c r="C32" s="442">
        <v>-1.7386095149429348E-2</v>
      </c>
      <c r="D32" s="442">
        <v>1.738609514942957E-2</v>
      </c>
      <c r="I32" s="461"/>
      <c r="J32" s="461"/>
      <c r="K32" s="461"/>
      <c r="L32" s="461"/>
      <c r="M32" s="461"/>
      <c r="N32" s="461"/>
      <c r="O32" s="461"/>
    </row>
    <row r="33" spans="2:15">
      <c r="B33" s="388" t="s">
        <v>513</v>
      </c>
      <c r="C33" s="442">
        <v>-1.6422279099619796E-2</v>
      </c>
      <c r="D33" s="442">
        <v>1.6422279099620241E-2</v>
      </c>
      <c r="I33" s="461"/>
      <c r="J33" s="461"/>
      <c r="K33" s="461"/>
      <c r="L33" s="461"/>
      <c r="M33" s="461"/>
      <c r="N33" s="461"/>
      <c r="O33" s="461"/>
    </row>
    <row r="34" spans="2:15">
      <c r="B34" s="388" t="s">
        <v>528</v>
      </c>
      <c r="C34" s="442">
        <v>-5.7032804127563619E-3</v>
      </c>
      <c r="D34" s="442">
        <v>5.7032804127565839E-3</v>
      </c>
      <c r="I34" s="461"/>
      <c r="J34" s="461"/>
      <c r="K34" s="461"/>
      <c r="L34" s="461"/>
      <c r="M34" s="461"/>
      <c r="N34" s="461"/>
      <c r="O34" s="461"/>
    </row>
    <row r="35" spans="2:15">
      <c r="B35" s="388" t="s">
        <v>520</v>
      </c>
      <c r="C35" s="442">
        <v>-3.9006663537828334E-3</v>
      </c>
      <c r="D35" s="442">
        <v>3.9006663537828334E-3</v>
      </c>
      <c r="I35" s="461"/>
      <c r="J35" s="461"/>
      <c r="K35" s="461"/>
      <c r="L35" s="461"/>
      <c r="M35" s="461"/>
      <c r="N35" s="461"/>
      <c r="O35" s="461"/>
    </row>
    <row r="36" spans="2:15">
      <c r="B36" s="388" t="s">
        <v>521</v>
      </c>
      <c r="C36" s="442">
        <v>5.0014249808875144E-2</v>
      </c>
      <c r="D36" s="442">
        <v>5.0014249808875144E-2</v>
      </c>
      <c r="I36" s="461"/>
      <c r="J36" s="461"/>
      <c r="K36" s="461"/>
      <c r="L36" s="461"/>
      <c r="M36" s="461"/>
      <c r="N36" s="461"/>
      <c r="O36" s="461"/>
    </row>
    <row r="37" spans="2:15">
      <c r="B37" s="386"/>
      <c r="C37" s="386"/>
      <c r="D37" s="386"/>
      <c r="I37" s="461"/>
      <c r="J37" s="461"/>
      <c r="K37" s="461"/>
      <c r="L37" s="461"/>
      <c r="M37" s="461"/>
      <c r="N37" s="461"/>
      <c r="O37" s="461"/>
    </row>
    <row r="38" spans="2:15">
      <c r="B38" s="386"/>
      <c r="C38" s="386"/>
      <c r="D38" s="386"/>
      <c r="I38" s="461"/>
      <c r="J38" s="461"/>
      <c r="K38" s="461"/>
      <c r="L38" s="461"/>
      <c r="M38" s="461"/>
      <c r="N38" s="461"/>
      <c r="O38" s="461"/>
    </row>
  </sheetData>
  <mergeCells count="2">
    <mergeCell ref="I25:O38"/>
    <mergeCell ref="I7:R22"/>
  </mergeCells>
  <pageMargins left="0.7" right="0.7" top="0.75" bottom="0.75" header="0.3" footer="0.3"/>
  <pageSetup paperSize="9" orientation="portrait" verticalDpi="0" r:id="rId3"/>
  <legacyDrawing r:id="rId4"/>
</worksheet>
</file>

<file path=xl/worksheets/sheet6.xml><?xml version="1.0" encoding="utf-8"?>
<worksheet xmlns="http://schemas.openxmlformats.org/spreadsheetml/2006/main" xmlns:r="http://schemas.openxmlformats.org/officeDocument/2006/relationships">
  <sheetPr codeName="Sheet36">
    <tabColor rgb="FF002060"/>
  </sheetPr>
  <dimension ref="A2:R23"/>
  <sheetViews>
    <sheetView showGridLines="0" zoomScale="85" zoomScaleNormal="85" workbookViewId="0">
      <selection activeCell="J43" sqref="J43"/>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codeName="Sheet5">
    <tabColor rgb="FFFFFF00"/>
  </sheetPr>
  <dimension ref="A2:U353"/>
  <sheetViews>
    <sheetView showGridLines="0" topLeftCell="A19" zoomScale="55" zoomScaleNormal="55" workbookViewId="0">
      <selection activeCell="L251" sqref="L251"/>
    </sheetView>
  </sheetViews>
  <sheetFormatPr defaultColWidth="9.140625" defaultRowHeight="15"/>
  <cols>
    <col min="1" max="2" width="9.140625" style="277"/>
    <col min="3" max="3" width="41.5703125" style="277" customWidth="1"/>
    <col min="4" max="4" width="11.42578125" style="277" customWidth="1"/>
    <col min="5" max="5" width="7" style="277" customWidth="1"/>
    <col min="6" max="6" width="9.140625" style="255"/>
    <col min="7" max="7" width="12.5703125" style="277" customWidth="1"/>
    <col min="8" max="8" width="13.7109375" style="277" customWidth="1"/>
    <col min="9" max="9" width="9.140625" style="277"/>
    <col min="10" max="10" width="10.140625" style="277" bestFit="1" customWidth="1"/>
    <col min="11" max="11" width="12.5703125" style="277" customWidth="1"/>
    <col min="12" max="12" width="14.7109375" style="255" customWidth="1"/>
    <col min="13" max="13" width="16.5703125" style="284" customWidth="1"/>
    <col min="14" max="14" width="19.7109375" style="277" customWidth="1"/>
    <col min="15" max="15" width="21.5703125" style="255" customWidth="1"/>
    <col min="16" max="16" width="22.5703125" style="255" customWidth="1"/>
    <col min="17" max="21" width="9.140625" style="255"/>
    <col min="22" max="16384" width="9.140625" style="277"/>
  </cols>
  <sheetData>
    <row r="2" spans="2:21" ht="12.75">
      <c r="B2" s="277" t="s">
        <v>0</v>
      </c>
      <c r="D2" s="257" t="str">
        <f ca="1">MID(CELL("filename",A1),FIND("]",CELL("filename",A1))+1,256)</f>
        <v>Industry Cost Inputs</v>
      </c>
      <c r="F2" s="277"/>
      <c r="L2" s="277"/>
      <c r="M2" s="247"/>
      <c r="O2" s="277"/>
      <c r="P2" s="277"/>
      <c r="Q2" s="277"/>
      <c r="R2" s="277"/>
      <c r="S2" s="277"/>
      <c r="T2" s="277"/>
      <c r="U2" s="277"/>
    </row>
    <row r="3" spans="2:21" ht="12.75">
      <c r="B3" s="277" t="s">
        <v>1</v>
      </c>
      <c r="D3" s="277" t="s">
        <v>573</v>
      </c>
      <c r="F3" s="277"/>
      <c r="L3" s="277"/>
      <c r="M3" s="247"/>
      <c r="O3" s="277"/>
      <c r="P3" s="277"/>
      <c r="Q3" s="277"/>
      <c r="R3" s="277"/>
      <c r="S3" s="277"/>
      <c r="T3" s="277"/>
      <c r="U3" s="277"/>
    </row>
    <row r="4" spans="2:21">
      <c r="G4" s="427"/>
      <c r="H4" s="427"/>
      <c r="I4" s="427"/>
      <c r="J4" s="427"/>
      <c r="K4" s="427"/>
    </row>
    <row r="5" spans="2:21" s="259" customFormat="1" ht="12.75">
      <c r="B5" s="259" t="s">
        <v>172</v>
      </c>
      <c r="F5" s="259" t="s">
        <v>419</v>
      </c>
      <c r="G5" s="424" t="s">
        <v>671</v>
      </c>
      <c r="H5" s="424" t="s">
        <v>671</v>
      </c>
      <c r="I5" s="424" t="s">
        <v>671</v>
      </c>
      <c r="J5" s="424" t="s">
        <v>671</v>
      </c>
      <c r="K5" s="424" t="s">
        <v>671</v>
      </c>
      <c r="M5" s="252" t="s">
        <v>421</v>
      </c>
      <c r="N5" s="220" t="s">
        <v>455</v>
      </c>
    </row>
    <row r="6" spans="2:21" ht="12.75">
      <c r="F6" s="277"/>
      <c r="G6" s="222"/>
      <c r="H6" s="222"/>
      <c r="I6" s="219"/>
      <c r="J6" s="222"/>
      <c r="K6" s="222"/>
      <c r="L6" s="277"/>
      <c r="M6" s="247"/>
      <c r="O6" s="277"/>
      <c r="P6" s="277"/>
      <c r="Q6" s="277"/>
      <c r="R6" s="277"/>
      <c r="S6" s="277"/>
      <c r="T6" s="277"/>
      <c r="U6" s="277"/>
    </row>
    <row r="7" spans="2:21" ht="12.75">
      <c r="B7" s="257"/>
      <c r="C7" s="305" t="s">
        <v>294</v>
      </c>
      <c r="E7" s="232"/>
      <c r="F7" s="277"/>
      <c r="L7" s="277"/>
      <c r="M7" s="309"/>
      <c r="O7" s="277"/>
      <c r="P7" s="277"/>
      <c r="Q7" s="277"/>
      <c r="R7" s="277"/>
      <c r="S7" s="277"/>
      <c r="T7" s="277"/>
      <c r="U7" s="277"/>
    </row>
    <row r="8" spans="2:21">
      <c r="B8" s="257"/>
      <c r="C8" s="236" t="s">
        <v>15</v>
      </c>
      <c r="D8" s="255"/>
      <c r="E8" s="232"/>
      <c r="F8" s="277" t="s">
        <v>420</v>
      </c>
      <c r="G8" s="424" t="s">
        <v>671</v>
      </c>
      <c r="H8" s="424" t="s">
        <v>671</v>
      </c>
      <c r="I8" s="424" t="s">
        <v>671</v>
      </c>
      <c r="J8" s="424" t="s">
        <v>671</v>
      </c>
      <c r="K8" s="424" t="s">
        <v>671</v>
      </c>
      <c r="L8" s="277"/>
      <c r="M8" s="424" t="s">
        <v>671</v>
      </c>
      <c r="O8" s="277"/>
      <c r="P8" s="277"/>
      <c r="Q8" s="277"/>
      <c r="R8" s="277"/>
      <c r="S8" s="277"/>
      <c r="T8" s="277"/>
      <c r="U8" s="277"/>
    </row>
    <row r="9" spans="2:21">
      <c r="B9" s="257"/>
      <c r="C9" s="236" t="s">
        <v>16</v>
      </c>
      <c r="D9" s="255"/>
      <c r="E9" s="232"/>
      <c r="F9" s="277" t="s">
        <v>420</v>
      </c>
      <c r="G9" s="424" t="s">
        <v>671</v>
      </c>
      <c r="H9" s="424" t="s">
        <v>671</v>
      </c>
      <c r="I9" s="424" t="s">
        <v>671</v>
      </c>
      <c r="J9" s="424" t="s">
        <v>671</v>
      </c>
      <c r="K9" s="424" t="s">
        <v>671</v>
      </c>
      <c r="L9" s="277"/>
      <c r="M9" s="424" t="s">
        <v>671</v>
      </c>
      <c r="O9" s="277"/>
      <c r="P9" s="277"/>
      <c r="Q9" s="277"/>
      <c r="R9" s="277"/>
      <c r="S9" s="277"/>
      <c r="T9" s="277"/>
      <c r="U9" s="277"/>
    </row>
    <row r="10" spans="2:21">
      <c r="B10" s="257"/>
      <c r="C10" s="236" t="s">
        <v>17</v>
      </c>
      <c r="D10" s="255"/>
      <c r="E10" s="232"/>
      <c r="F10" s="277" t="s">
        <v>420</v>
      </c>
      <c r="G10" s="424" t="s">
        <v>671</v>
      </c>
      <c r="H10" s="424" t="s">
        <v>671</v>
      </c>
      <c r="I10" s="424" t="s">
        <v>671</v>
      </c>
      <c r="J10" s="424" t="s">
        <v>671</v>
      </c>
      <c r="K10" s="424" t="s">
        <v>671</v>
      </c>
      <c r="L10" s="277"/>
      <c r="M10" s="424" t="s">
        <v>671</v>
      </c>
      <c r="O10" s="277"/>
      <c r="P10" s="277"/>
      <c r="Q10" s="277"/>
      <c r="R10" s="277"/>
      <c r="S10" s="277"/>
      <c r="T10" s="277"/>
      <c r="U10" s="277"/>
    </row>
    <row r="11" spans="2:21">
      <c r="B11" s="257"/>
      <c r="C11" s="236"/>
      <c r="D11" s="255"/>
      <c r="E11" s="232"/>
      <c r="F11" s="277"/>
      <c r="G11" s="232"/>
      <c r="H11" s="232"/>
      <c r="I11" s="232"/>
      <c r="J11" s="232"/>
      <c r="K11" s="232"/>
      <c r="L11" s="277"/>
      <c r="M11" s="309"/>
      <c r="O11" s="277"/>
      <c r="P11" s="277"/>
      <c r="Q11" s="277"/>
      <c r="R11" s="277"/>
      <c r="S11" s="277"/>
      <c r="T11" s="277"/>
      <c r="U11" s="277"/>
    </row>
    <row r="12" spans="2:21">
      <c r="B12" s="257"/>
      <c r="C12" s="237" t="s">
        <v>296</v>
      </c>
      <c r="D12" s="255"/>
      <c r="E12" s="239"/>
      <c r="F12" s="277"/>
      <c r="G12" s="261"/>
      <c r="H12" s="261"/>
      <c r="I12" s="239"/>
      <c r="J12" s="261"/>
      <c r="K12" s="261"/>
      <c r="L12" s="277"/>
      <c r="M12" s="309"/>
      <c r="O12" s="277"/>
      <c r="P12" s="277"/>
      <c r="Q12" s="277"/>
      <c r="R12" s="277"/>
      <c r="S12" s="277"/>
      <c r="T12" s="277"/>
      <c r="U12" s="277"/>
    </row>
    <row r="13" spans="2:21">
      <c r="B13" s="257"/>
      <c r="C13" s="225" t="s">
        <v>297</v>
      </c>
      <c r="D13" s="255"/>
      <c r="E13" s="240"/>
      <c r="F13" s="277" t="s">
        <v>61</v>
      </c>
      <c r="G13" s="424" t="s">
        <v>671</v>
      </c>
      <c r="H13" s="424" t="s">
        <v>671</v>
      </c>
      <c r="I13" s="424" t="s">
        <v>671</v>
      </c>
      <c r="J13" s="424" t="s">
        <v>671</v>
      </c>
      <c r="K13" s="424" t="s">
        <v>671</v>
      </c>
      <c r="L13" s="277"/>
      <c r="M13" s="306"/>
      <c r="O13" s="277"/>
      <c r="P13" s="277"/>
      <c r="Q13" s="277"/>
      <c r="R13" s="277"/>
      <c r="S13" s="277"/>
      <c r="T13" s="277"/>
      <c r="U13" s="277"/>
    </row>
    <row r="14" spans="2:21">
      <c r="B14" s="255"/>
      <c r="C14" s="228" t="s">
        <v>298</v>
      </c>
      <c r="E14" s="239"/>
      <c r="F14" s="277" t="s">
        <v>58</v>
      </c>
      <c r="G14" s="424" t="s">
        <v>671</v>
      </c>
      <c r="H14" s="424" t="s">
        <v>671</v>
      </c>
      <c r="I14" s="424" t="s">
        <v>671</v>
      </c>
      <c r="J14" s="424" t="s">
        <v>671</v>
      </c>
      <c r="K14" s="424" t="s">
        <v>671</v>
      </c>
      <c r="L14" s="277"/>
      <c r="M14" s="307"/>
      <c r="O14" s="277"/>
      <c r="P14" s="277"/>
      <c r="Q14" s="277"/>
      <c r="R14" s="277"/>
      <c r="S14" s="277"/>
      <c r="T14" s="277"/>
      <c r="U14" s="277"/>
    </row>
    <row r="15" spans="2:21">
      <c r="B15" s="255"/>
      <c r="C15" s="225" t="s">
        <v>299</v>
      </c>
      <c r="E15" s="240"/>
      <c r="F15" s="277" t="s">
        <v>61</v>
      </c>
      <c r="G15" s="424" t="s">
        <v>671</v>
      </c>
      <c r="H15" s="424" t="s">
        <v>671</v>
      </c>
      <c r="I15" s="424" t="s">
        <v>671</v>
      </c>
      <c r="J15" s="424" t="s">
        <v>671</v>
      </c>
      <c r="K15" s="424" t="s">
        <v>671</v>
      </c>
      <c r="L15" s="277"/>
      <c r="M15" s="306"/>
      <c r="O15" s="277"/>
      <c r="P15" s="277"/>
      <c r="Q15" s="277"/>
      <c r="R15" s="277"/>
      <c r="S15" s="277"/>
      <c r="T15" s="277"/>
      <c r="U15" s="277"/>
    </row>
    <row r="16" spans="2:21" ht="12.75">
      <c r="B16" s="265"/>
      <c r="C16" s="228" t="s">
        <v>298</v>
      </c>
      <c r="E16" s="239"/>
      <c r="F16" s="277" t="s">
        <v>58</v>
      </c>
      <c r="G16" s="424" t="s">
        <v>671</v>
      </c>
      <c r="H16" s="424" t="s">
        <v>671</v>
      </c>
      <c r="I16" s="424" t="s">
        <v>671</v>
      </c>
      <c r="J16" s="424" t="s">
        <v>671</v>
      </c>
      <c r="K16" s="424" t="s">
        <v>671</v>
      </c>
      <c r="L16" s="277"/>
      <c r="M16" s="307"/>
      <c r="O16" s="277"/>
      <c r="P16" s="277"/>
      <c r="Q16" s="277"/>
      <c r="R16" s="277"/>
      <c r="S16" s="277"/>
      <c r="T16" s="277"/>
      <c r="U16" s="277"/>
    </row>
    <row r="17" spans="2:21">
      <c r="B17" s="255"/>
      <c r="C17" s="227" t="s">
        <v>300</v>
      </c>
      <c r="E17" s="240"/>
      <c r="F17" s="277" t="s">
        <v>61</v>
      </c>
      <c r="G17" s="424" t="s">
        <v>671</v>
      </c>
      <c r="H17" s="424" t="s">
        <v>671</v>
      </c>
      <c r="I17" s="424" t="s">
        <v>671</v>
      </c>
      <c r="J17" s="424" t="s">
        <v>671</v>
      </c>
      <c r="K17" s="424" t="s">
        <v>671</v>
      </c>
      <c r="L17" s="277"/>
      <c r="M17" s="306"/>
      <c r="O17" s="277"/>
      <c r="P17" s="277"/>
      <c r="Q17" s="277"/>
      <c r="R17" s="277"/>
      <c r="S17" s="277"/>
      <c r="T17" s="277"/>
      <c r="U17" s="277"/>
    </row>
    <row r="18" spans="2:21">
      <c r="B18" s="255"/>
      <c r="C18" s="228" t="s">
        <v>298</v>
      </c>
      <c r="E18" s="239"/>
      <c r="F18" s="277" t="s">
        <v>58</v>
      </c>
      <c r="G18" s="424" t="s">
        <v>671</v>
      </c>
      <c r="H18" s="424" t="s">
        <v>671</v>
      </c>
      <c r="I18" s="424" t="s">
        <v>671</v>
      </c>
      <c r="J18" s="424" t="s">
        <v>671</v>
      </c>
      <c r="K18" s="424" t="s">
        <v>671</v>
      </c>
      <c r="L18" s="277"/>
      <c r="M18" s="307"/>
      <c r="O18" s="277"/>
      <c r="P18" s="277"/>
      <c r="Q18" s="277"/>
      <c r="R18" s="277"/>
      <c r="S18" s="277"/>
      <c r="T18" s="277"/>
      <c r="U18" s="277"/>
    </row>
    <row r="19" spans="2:21">
      <c r="B19" s="255"/>
      <c r="C19" s="227" t="s">
        <v>301</v>
      </c>
      <c r="E19" s="240"/>
      <c r="F19" s="277" t="s">
        <v>61</v>
      </c>
      <c r="G19" s="424" t="s">
        <v>671</v>
      </c>
      <c r="H19" s="424" t="s">
        <v>671</v>
      </c>
      <c r="I19" s="424" t="s">
        <v>671</v>
      </c>
      <c r="J19" s="424" t="s">
        <v>671</v>
      </c>
      <c r="K19" s="424" t="s">
        <v>671</v>
      </c>
      <c r="L19" s="277"/>
      <c r="M19" s="306"/>
      <c r="O19" s="277"/>
      <c r="P19" s="277"/>
      <c r="Q19" s="277"/>
      <c r="R19" s="277"/>
      <c r="S19" s="277"/>
      <c r="T19" s="277"/>
      <c r="U19" s="277"/>
    </row>
    <row r="20" spans="2:21">
      <c r="B20" s="255"/>
      <c r="C20" s="228" t="s">
        <v>298</v>
      </c>
      <c r="D20" s="255"/>
      <c r="E20" s="239"/>
      <c r="F20" s="277" t="s">
        <v>58</v>
      </c>
      <c r="G20" s="424" t="s">
        <v>671</v>
      </c>
      <c r="H20" s="424" t="s">
        <v>671</v>
      </c>
      <c r="I20" s="424" t="s">
        <v>671</v>
      </c>
      <c r="J20" s="424" t="s">
        <v>671</v>
      </c>
      <c r="K20" s="424" t="s">
        <v>671</v>
      </c>
      <c r="L20" s="277"/>
      <c r="M20" s="307"/>
      <c r="O20" s="277"/>
      <c r="P20" s="277"/>
      <c r="Q20" s="277"/>
      <c r="R20" s="277"/>
      <c r="S20" s="277"/>
      <c r="T20" s="277"/>
      <c r="U20" s="277"/>
    </row>
    <row r="21" spans="2:21">
      <c r="B21" s="255"/>
      <c r="C21" s="226" t="s">
        <v>292</v>
      </c>
      <c r="D21" s="255"/>
      <c r="E21" s="240"/>
      <c r="F21" s="277" t="s">
        <v>61</v>
      </c>
      <c r="G21" s="424" t="s">
        <v>671</v>
      </c>
      <c r="H21" s="424" t="s">
        <v>671</v>
      </c>
      <c r="I21" s="424" t="s">
        <v>671</v>
      </c>
      <c r="J21" s="424" t="s">
        <v>671</v>
      </c>
      <c r="K21" s="424" t="s">
        <v>671</v>
      </c>
      <c r="L21" s="277"/>
      <c r="M21" s="306"/>
      <c r="O21" s="277"/>
      <c r="P21" s="277"/>
      <c r="Q21" s="277"/>
      <c r="R21" s="277"/>
      <c r="S21" s="277"/>
      <c r="T21" s="277"/>
      <c r="U21" s="277"/>
    </row>
    <row r="22" spans="2:21">
      <c r="B22" s="255"/>
      <c r="C22" s="228" t="s">
        <v>298</v>
      </c>
      <c r="D22" s="255"/>
      <c r="E22" s="239"/>
      <c r="F22" s="277" t="s">
        <v>58</v>
      </c>
      <c r="G22" s="424" t="s">
        <v>671</v>
      </c>
      <c r="H22" s="424" t="s">
        <v>671</v>
      </c>
      <c r="I22" s="424" t="s">
        <v>671</v>
      </c>
      <c r="J22" s="424" t="s">
        <v>671</v>
      </c>
      <c r="K22" s="424" t="s">
        <v>671</v>
      </c>
      <c r="L22" s="277"/>
      <c r="M22" s="307"/>
      <c r="O22" s="277"/>
      <c r="P22" s="277"/>
      <c r="Q22" s="277"/>
      <c r="R22" s="277"/>
      <c r="S22" s="277"/>
      <c r="T22" s="277"/>
      <c r="U22" s="277"/>
    </row>
    <row r="23" spans="2:21">
      <c r="B23" s="255"/>
      <c r="C23" s="235"/>
      <c r="D23" s="234"/>
      <c r="E23" s="232"/>
      <c r="F23" s="277"/>
      <c r="G23" s="308"/>
      <c r="H23" s="308"/>
      <c r="I23" s="307" t="s">
        <v>295</v>
      </c>
      <c r="J23" s="308" t="s">
        <v>295</v>
      </c>
      <c r="K23" s="308" t="s">
        <v>295</v>
      </c>
      <c r="L23" s="277"/>
      <c r="M23" s="309"/>
      <c r="O23" s="277"/>
      <c r="P23" s="277"/>
      <c r="Q23" s="277"/>
      <c r="R23" s="277"/>
      <c r="S23" s="277"/>
      <c r="T23" s="277"/>
      <c r="U23" s="277"/>
    </row>
    <row r="24" spans="2:21">
      <c r="B24" s="255"/>
      <c r="C24" s="238" t="s">
        <v>302</v>
      </c>
      <c r="D24" s="255"/>
      <c r="E24" s="232"/>
      <c r="F24" s="277"/>
      <c r="G24" s="307"/>
      <c r="H24" s="307"/>
      <c r="I24" s="307"/>
      <c r="J24" s="307"/>
      <c r="K24" s="307"/>
      <c r="L24" s="277"/>
      <c r="M24" s="309"/>
      <c r="O24" s="277"/>
      <c r="P24" s="277"/>
      <c r="Q24" s="277"/>
      <c r="R24" s="277"/>
      <c r="S24" s="277"/>
      <c r="T24" s="277"/>
      <c r="U24" s="277"/>
    </row>
    <row r="25" spans="2:21">
      <c r="B25" s="255"/>
      <c r="C25" s="235" t="s">
        <v>303</v>
      </c>
      <c r="D25" s="255"/>
      <c r="E25" s="239"/>
      <c r="F25" s="277" t="s">
        <v>58</v>
      </c>
      <c r="G25" s="424" t="s">
        <v>671</v>
      </c>
      <c r="H25" s="424" t="s">
        <v>671</v>
      </c>
      <c r="I25" s="424" t="s">
        <v>671</v>
      </c>
      <c r="J25" s="424" t="s">
        <v>671</v>
      </c>
      <c r="K25" s="424" t="s">
        <v>671</v>
      </c>
      <c r="L25" s="277"/>
      <c r="M25" s="424" t="s">
        <v>671</v>
      </c>
      <c r="O25" s="277"/>
      <c r="P25" s="277"/>
      <c r="Q25" s="277"/>
      <c r="R25" s="277"/>
      <c r="S25" s="277"/>
      <c r="T25" s="277"/>
      <c r="U25" s="277"/>
    </row>
    <row r="26" spans="2:21">
      <c r="B26" s="255"/>
      <c r="C26" s="235" t="s">
        <v>304</v>
      </c>
      <c r="D26" s="255"/>
      <c r="E26" s="239"/>
      <c r="F26" s="277" t="s">
        <v>58</v>
      </c>
      <c r="G26" s="424" t="s">
        <v>671</v>
      </c>
      <c r="H26" s="424" t="s">
        <v>671</v>
      </c>
      <c r="I26" s="424" t="s">
        <v>671</v>
      </c>
      <c r="J26" s="424" t="s">
        <v>671</v>
      </c>
      <c r="K26" s="424" t="s">
        <v>671</v>
      </c>
      <c r="L26" s="277"/>
      <c r="M26" s="424" t="s">
        <v>671</v>
      </c>
      <c r="O26" s="277"/>
      <c r="P26" s="277"/>
      <c r="Q26" s="277"/>
      <c r="R26" s="277"/>
      <c r="S26" s="277"/>
      <c r="T26" s="277"/>
      <c r="U26" s="277"/>
    </row>
    <row r="27" spans="2:21">
      <c r="B27" s="255"/>
      <c r="C27" s="235" t="s">
        <v>305</v>
      </c>
      <c r="D27" s="255"/>
      <c r="E27" s="239"/>
      <c r="F27" s="277" t="s">
        <v>58</v>
      </c>
      <c r="G27" s="424" t="s">
        <v>671</v>
      </c>
      <c r="H27" s="424" t="s">
        <v>671</v>
      </c>
      <c r="I27" s="424" t="s">
        <v>671</v>
      </c>
      <c r="J27" s="424" t="s">
        <v>671</v>
      </c>
      <c r="K27" s="424" t="s">
        <v>671</v>
      </c>
      <c r="L27" s="277"/>
      <c r="M27" s="424" t="s">
        <v>671</v>
      </c>
      <c r="O27" s="277"/>
      <c r="P27" s="277"/>
      <c r="Q27" s="277"/>
      <c r="R27" s="277"/>
      <c r="S27" s="277"/>
      <c r="T27" s="277"/>
      <c r="U27" s="277"/>
    </row>
    <row r="28" spans="2:21">
      <c r="B28" s="255"/>
      <c r="C28" s="235" t="s">
        <v>306</v>
      </c>
      <c r="D28" s="255"/>
      <c r="E28" s="239"/>
      <c r="F28" s="277" t="s">
        <v>58</v>
      </c>
      <c r="G28" s="424" t="s">
        <v>671</v>
      </c>
      <c r="H28" s="424" t="s">
        <v>671</v>
      </c>
      <c r="I28" s="424" t="s">
        <v>671</v>
      </c>
      <c r="J28" s="424" t="s">
        <v>671</v>
      </c>
      <c r="K28" s="424" t="s">
        <v>671</v>
      </c>
      <c r="L28" s="277"/>
      <c r="M28" s="424" t="s">
        <v>671</v>
      </c>
      <c r="O28" s="277"/>
      <c r="P28" s="277"/>
      <c r="Q28" s="277"/>
      <c r="R28" s="277"/>
      <c r="S28" s="277"/>
      <c r="T28" s="277"/>
      <c r="U28" s="277"/>
    </row>
    <row r="29" spans="2:21">
      <c r="B29" s="255"/>
      <c r="C29" s="235"/>
      <c r="D29" s="255"/>
      <c r="E29" s="239"/>
      <c r="F29" s="277"/>
      <c r="G29" s="239"/>
      <c r="H29" s="239"/>
      <c r="I29" s="239"/>
      <c r="J29" s="239"/>
      <c r="K29" s="239"/>
      <c r="L29" s="277"/>
      <c r="M29" s="307"/>
      <c r="O29" s="277"/>
      <c r="P29" s="277"/>
      <c r="Q29" s="277"/>
      <c r="R29" s="277"/>
      <c r="S29" s="277"/>
      <c r="T29" s="277"/>
      <c r="U29" s="277"/>
    </row>
    <row r="30" spans="2:21">
      <c r="B30" s="255"/>
      <c r="C30" s="238" t="s">
        <v>418</v>
      </c>
      <c r="D30" s="255"/>
      <c r="E30" s="239"/>
      <c r="F30" s="277"/>
      <c r="G30" s="239"/>
      <c r="H30" s="239"/>
      <c r="I30" s="239"/>
      <c r="J30" s="239"/>
      <c r="K30" s="239"/>
      <c r="L30" s="277"/>
      <c r="M30" s="307"/>
      <c r="O30" s="277"/>
      <c r="P30" s="277"/>
      <c r="Q30" s="277"/>
      <c r="R30" s="277"/>
      <c r="S30" s="277"/>
      <c r="T30" s="277"/>
      <c r="U30" s="277"/>
    </row>
    <row r="31" spans="2:21" ht="12.75">
      <c r="C31" s="277" t="s">
        <v>418</v>
      </c>
      <c r="F31" s="277" t="s">
        <v>58</v>
      </c>
      <c r="G31" s="424" t="s">
        <v>671</v>
      </c>
      <c r="H31" s="424" t="s">
        <v>671</v>
      </c>
      <c r="I31" s="424" t="s">
        <v>671</v>
      </c>
      <c r="J31" s="424" t="s">
        <v>671</v>
      </c>
      <c r="K31" s="424" t="s">
        <v>671</v>
      </c>
      <c r="L31" s="277"/>
      <c r="M31" s="424" t="s">
        <v>671</v>
      </c>
      <c r="O31" s="277"/>
      <c r="P31" s="277"/>
      <c r="Q31" s="277"/>
      <c r="R31" s="277"/>
      <c r="S31" s="277"/>
      <c r="T31" s="277"/>
      <c r="U31" s="277"/>
    </row>
    <row r="32" spans="2:21" ht="12.75">
      <c r="F32" s="277"/>
      <c r="G32" s="222"/>
      <c r="H32" s="222"/>
      <c r="I32" s="219"/>
      <c r="J32" s="222"/>
      <c r="K32" s="222"/>
      <c r="L32" s="277"/>
      <c r="M32" s="309"/>
      <c r="O32" s="277"/>
      <c r="P32" s="277"/>
      <c r="Q32" s="277"/>
      <c r="R32" s="277"/>
      <c r="S32" s="277"/>
      <c r="T32" s="277"/>
      <c r="U32" s="277"/>
    </row>
    <row r="33" spans="1:21" ht="12.75">
      <c r="F33" s="277"/>
      <c r="G33" s="222"/>
      <c r="H33" s="222"/>
      <c r="I33" s="219"/>
      <c r="J33" s="222"/>
      <c r="K33" s="222"/>
      <c r="L33" s="277"/>
      <c r="M33" s="309"/>
      <c r="O33" s="277"/>
      <c r="P33" s="277"/>
      <c r="Q33" s="277"/>
      <c r="R33" s="277"/>
      <c r="S33" s="277"/>
      <c r="T33" s="277"/>
      <c r="U33" s="277"/>
    </row>
    <row r="34" spans="1:21" ht="12.75">
      <c r="A34" s="259"/>
      <c r="B34" s="285" t="s">
        <v>308</v>
      </c>
      <c r="C34" s="259"/>
      <c r="D34" s="259"/>
      <c r="E34" s="259"/>
      <c r="F34" s="259"/>
      <c r="G34" s="424" t="s">
        <v>671</v>
      </c>
      <c r="H34" s="424" t="s">
        <v>671</v>
      </c>
      <c r="I34" s="424" t="s">
        <v>671</v>
      </c>
      <c r="J34" s="424" t="s">
        <v>671</v>
      </c>
      <c r="K34" s="424" t="s">
        <v>671</v>
      </c>
      <c r="L34" s="259"/>
      <c r="M34" s="252" t="s">
        <v>421</v>
      </c>
      <c r="N34" s="220" t="s">
        <v>455</v>
      </c>
      <c r="O34" s="277"/>
      <c r="P34" s="277"/>
      <c r="Q34" s="277"/>
      <c r="R34" s="277"/>
      <c r="S34" s="277"/>
      <c r="T34" s="277"/>
      <c r="U34" s="277"/>
    </row>
    <row r="35" spans="1:21" ht="12.75">
      <c r="C35" s="257"/>
      <c r="F35" s="277"/>
      <c r="G35" s="219"/>
      <c r="H35" s="219"/>
      <c r="I35" s="219"/>
      <c r="J35" s="219"/>
      <c r="K35" s="219"/>
      <c r="L35" s="277"/>
      <c r="M35" s="309"/>
      <c r="O35" s="277"/>
      <c r="P35" s="277"/>
      <c r="Q35" s="277"/>
      <c r="R35" s="277"/>
      <c r="S35" s="277"/>
      <c r="T35" s="277"/>
      <c r="U35" s="277"/>
    </row>
    <row r="36" spans="1:21">
      <c r="B36" s="255"/>
      <c r="C36" s="277" t="s">
        <v>264</v>
      </c>
      <c r="D36" s="255"/>
      <c r="E36" s="255"/>
      <c r="F36" s="277" t="s">
        <v>29</v>
      </c>
      <c r="G36" s="424" t="s">
        <v>671</v>
      </c>
      <c r="H36" s="424" t="s">
        <v>671</v>
      </c>
      <c r="I36" s="424" t="s">
        <v>671</v>
      </c>
      <c r="J36" s="424" t="s">
        <v>671</v>
      </c>
      <c r="K36" s="424" t="s">
        <v>671</v>
      </c>
      <c r="L36" s="277"/>
      <c r="M36" s="311"/>
      <c r="O36" s="277"/>
      <c r="P36" s="277"/>
      <c r="Q36" s="277"/>
      <c r="R36" s="277"/>
      <c r="S36" s="277"/>
      <c r="T36" s="277"/>
      <c r="U36" s="277"/>
    </row>
    <row r="37" spans="1:21">
      <c r="B37" s="255"/>
      <c r="C37" s="277" t="s">
        <v>265</v>
      </c>
      <c r="D37" s="255"/>
      <c r="E37" s="255"/>
      <c r="F37" s="277" t="s">
        <v>29</v>
      </c>
      <c r="G37" s="424" t="s">
        <v>671</v>
      </c>
      <c r="H37" s="424" t="s">
        <v>671</v>
      </c>
      <c r="I37" s="424" t="s">
        <v>671</v>
      </c>
      <c r="J37" s="424" t="s">
        <v>671</v>
      </c>
      <c r="K37" s="424" t="s">
        <v>671</v>
      </c>
      <c r="L37" s="277"/>
      <c r="M37" s="311"/>
      <c r="O37" s="277"/>
      <c r="P37" s="277"/>
      <c r="Q37" s="277"/>
      <c r="R37" s="277"/>
      <c r="S37" s="277"/>
      <c r="T37" s="277"/>
      <c r="U37" s="277"/>
    </row>
    <row r="38" spans="1:21">
      <c r="B38" s="255"/>
      <c r="C38" s="277" t="s">
        <v>266</v>
      </c>
      <c r="D38" s="255"/>
      <c r="E38" s="255"/>
      <c r="F38" s="277" t="s">
        <v>29</v>
      </c>
      <c r="G38" s="424" t="s">
        <v>671</v>
      </c>
      <c r="H38" s="424" t="s">
        <v>671</v>
      </c>
      <c r="I38" s="424" t="s">
        <v>671</v>
      </c>
      <c r="J38" s="424" t="s">
        <v>671</v>
      </c>
      <c r="K38" s="424" t="s">
        <v>671</v>
      </c>
      <c r="L38" s="277"/>
      <c r="M38" s="311"/>
      <c r="O38" s="277"/>
      <c r="P38" s="277"/>
      <c r="Q38" s="277"/>
      <c r="R38" s="277"/>
      <c r="S38" s="277"/>
      <c r="T38" s="277"/>
      <c r="U38" s="277"/>
    </row>
    <row r="39" spans="1:21">
      <c r="B39" s="255"/>
      <c r="C39" s="277" t="s">
        <v>267</v>
      </c>
      <c r="D39" s="255"/>
      <c r="E39" s="255"/>
      <c r="F39" s="277" t="s">
        <v>29</v>
      </c>
      <c r="G39" s="424" t="s">
        <v>671</v>
      </c>
      <c r="H39" s="424" t="s">
        <v>671</v>
      </c>
      <c r="I39" s="424" t="s">
        <v>671</v>
      </c>
      <c r="J39" s="424" t="s">
        <v>671</v>
      </c>
      <c r="K39" s="424" t="s">
        <v>671</v>
      </c>
      <c r="L39" s="277"/>
      <c r="M39" s="311"/>
      <c r="O39" s="277"/>
      <c r="P39" s="277"/>
      <c r="Q39" s="277"/>
      <c r="R39" s="277"/>
      <c r="S39" s="277"/>
      <c r="T39" s="277"/>
      <c r="U39" s="277"/>
    </row>
    <row r="40" spans="1:21">
      <c r="B40" s="255"/>
      <c r="C40" s="277" t="s">
        <v>268</v>
      </c>
      <c r="D40" s="255"/>
      <c r="E40" s="255"/>
      <c r="F40" s="277" t="s">
        <v>29</v>
      </c>
      <c r="G40" s="424" t="s">
        <v>671</v>
      </c>
      <c r="H40" s="424" t="s">
        <v>671</v>
      </c>
      <c r="I40" s="424" t="s">
        <v>671</v>
      </c>
      <c r="J40" s="424" t="s">
        <v>671</v>
      </c>
      <c r="K40" s="424" t="s">
        <v>671</v>
      </c>
      <c r="L40" s="277"/>
      <c r="M40" s="311"/>
      <c r="O40" s="277"/>
      <c r="P40" s="277"/>
      <c r="Q40" s="277"/>
      <c r="R40" s="277"/>
      <c r="S40" s="277"/>
      <c r="T40" s="277"/>
      <c r="U40" s="277"/>
    </row>
    <row r="41" spans="1:21">
      <c r="B41" s="255"/>
      <c r="C41" s="277" t="s">
        <v>269</v>
      </c>
      <c r="D41" s="255"/>
      <c r="E41" s="255"/>
      <c r="F41" s="277" t="s">
        <v>29</v>
      </c>
      <c r="G41" s="424" t="s">
        <v>671</v>
      </c>
      <c r="H41" s="424" t="s">
        <v>671</v>
      </c>
      <c r="I41" s="424" t="s">
        <v>671</v>
      </c>
      <c r="J41" s="424" t="s">
        <v>671</v>
      </c>
      <c r="K41" s="424" t="s">
        <v>671</v>
      </c>
      <c r="L41" s="277"/>
      <c r="M41" s="311"/>
      <c r="O41" s="277"/>
      <c r="P41" s="277"/>
      <c r="Q41" s="277"/>
      <c r="R41" s="277"/>
      <c r="S41" s="277"/>
      <c r="T41" s="277"/>
      <c r="U41" s="277"/>
    </row>
    <row r="42" spans="1:21">
      <c r="B42" s="255"/>
      <c r="C42" s="277" t="s">
        <v>270</v>
      </c>
      <c r="D42" s="255"/>
      <c r="E42" s="255"/>
      <c r="F42" s="277" t="s">
        <v>29</v>
      </c>
      <c r="G42" s="424" t="s">
        <v>671</v>
      </c>
      <c r="H42" s="424" t="s">
        <v>671</v>
      </c>
      <c r="I42" s="424" t="s">
        <v>671</v>
      </c>
      <c r="J42" s="424" t="s">
        <v>671</v>
      </c>
      <c r="K42" s="424" t="s">
        <v>671</v>
      </c>
      <c r="L42" s="277"/>
      <c r="M42" s="311"/>
      <c r="O42" s="277"/>
      <c r="P42" s="277"/>
      <c r="Q42" s="277"/>
      <c r="R42" s="277"/>
      <c r="S42" s="277"/>
      <c r="T42" s="277"/>
      <c r="U42" s="277"/>
    </row>
    <row r="43" spans="1:21" s="265" customFormat="1">
      <c r="B43" s="255"/>
      <c r="C43" s="277" t="s">
        <v>30</v>
      </c>
      <c r="D43" s="255"/>
      <c r="E43" s="255"/>
      <c r="F43" s="277" t="s">
        <v>29</v>
      </c>
      <c r="G43" s="424" t="s">
        <v>671</v>
      </c>
      <c r="H43" s="424" t="s">
        <v>671</v>
      </c>
      <c r="I43" s="424" t="s">
        <v>671</v>
      </c>
      <c r="J43" s="424" t="s">
        <v>671</v>
      </c>
      <c r="K43" s="424" t="s">
        <v>671</v>
      </c>
      <c r="M43" s="311"/>
    </row>
    <row r="44" spans="1:21">
      <c r="A44" s="167"/>
      <c r="B44" s="255"/>
      <c r="C44" s="277" t="s">
        <v>271</v>
      </c>
      <c r="D44" s="255"/>
      <c r="E44" s="255"/>
      <c r="F44" s="277" t="s">
        <v>29</v>
      </c>
      <c r="G44" s="424" t="s">
        <v>671</v>
      </c>
      <c r="H44" s="424" t="s">
        <v>671</v>
      </c>
      <c r="I44" s="424" t="s">
        <v>671</v>
      </c>
      <c r="J44" s="424" t="s">
        <v>671</v>
      </c>
      <c r="K44" s="424" t="s">
        <v>671</v>
      </c>
      <c r="L44" s="277"/>
      <c r="M44" s="311"/>
      <c r="O44" s="277"/>
      <c r="P44" s="277"/>
      <c r="Q44" s="277"/>
      <c r="R44" s="277"/>
      <c r="S44" s="277"/>
      <c r="T44" s="277"/>
      <c r="U44" s="277"/>
    </row>
    <row r="45" spans="1:21">
      <c r="A45" s="167"/>
      <c r="B45" s="255"/>
      <c r="C45" s="277" t="s">
        <v>272</v>
      </c>
      <c r="D45" s="255"/>
      <c r="E45" s="255"/>
      <c r="F45" s="277" t="s">
        <v>29</v>
      </c>
      <c r="G45" s="424" t="s">
        <v>671</v>
      </c>
      <c r="H45" s="424" t="s">
        <v>671</v>
      </c>
      <c r="I45" s="424" t="s">
        <v>671</v>
      </c>
      <c r="J45" s="424" t="s">
        <v>671</v>
      </c>
      <c r="K45" s="424" t="s">
        <v>671</v>
      </c>
      <c r="L45" s="277"/>
      <c r="M45" s="311"/>
      <c r="O45" s="277"/>
      <c r="P45" s="277"/>
      <c r="Q45" s="277"/>
      <c r="R45" s="277"/>
      <c r="S45" s="277"/>
      <c r="T45" s="277"/>
      <c r="U45" s="277"/>
    </row>
    <row r="46" spans="1:21">
      <c r="A46" s="167"/>
      <c r="B46" s="255"/>
      <c r="C46" s="277" t="s">
        <v>273</v>
      </c>
      <c r="D46" s="255"/>
      <c r="E46" s="255"/>
      <c r="F46" s="277" t="s">
        <v>29</v>
      </c>
      <c r="G46" s="424" t="s">
        <v>671</v>
      </c>
      <c r="H46" s="424" t="s">
        <v>671</v>
      </c>
      <c r="I46" s="424" t="s">
        <v>671</v>
      </c>
      <c r="J46" s="424" t="s">
        <v>671</v>
      </c>
      <c r="K46" s="424" t="s">
        <v>671</v>
      </c>
      <c r="L46" s="277"/>
      <c r="M46" s="311"/>
      <c r="O46" s="277"/>
      <c r="P46" s="277"/>
      <c r="Q46" s="277"/>
      <c r="R46" s="277"/>
      <c r="S46" s="277"/>
      <c r="T46" s="277"/>
      <c r="U46" s="277"/>
    </row>
    <row r="47" spans="1:21">
      <c r="B47" s="255"/>
      <c r="C47" s="255"/>
      <c r="D47" s="255"/>
      <c r="E47" s="255"/>
      <c r="F47" s="277"/>
      <c r="G47" s="221"/>
      <c r="H47" s="221"/>
      <c r="I47" s="221"/>
      <c r="J47" s="221"/>
      <c r="K47" s="221"/>
      <c r="L47" s="277"/>
      <c r="M47" s="311"/>
      <c r="O47" s="277"/>
      <c r="P47" s="277"/>
      <c r="Q47" s="277"/>
      <c r="R47" s="277"/>
      <c r="S47" s="277"/>
      <c r="T47" s="277"/>
      <c r="U47" s="277"/>
    </row>
    <row r="48" spans="1:21">
      <c r="B48" s="255"/>
      <c r="C48" s="277" t="s">
        <v>227</v>
      </c>
      <c r="D48" s="255"/>
      <c r="E48" s="255"/>
      <c r="F48" s="277" t="s">
        <v>29</v>
      </c>
      <c r="G48" s="424" t="s">
        <v>671</v>
      </c>
      <c r="H48" s="424" t="s">
        <v>671</v>
      </c>
      <c r="I48" s="424" t="s">
        <v>671</v>
      </c>
      <c r="J48" s="424" t="s">
        <v>671</v>
      </c>
      <c r="K48" s="424" t="s">
        <v>671</v>
      </c>
      <c r="L48" s="277"/>
      <c r="M48" s="311"/>
      <c r="O48" s="277"/>
      <c r="P48" s="277"/>
      <c r="Q48" s="277"/>
      <c r="R48" s="277"/>
      <c r="S48" s="277"/>
      <c r="T48" s="277"/>
      <c r="U48" s="277"/>
    </row>
    <row r="49" spans="1:21">
      <c r="B49" s="255"/>
      <c r="C49" s="255"/>
      <c r="D49" s="255"/>
      <c r="E49" s="255"/>
      <c r="F49" s="277"/>
      <c r="G49" s="221"/>
      <c r="H49" s="221"/>
      <c r="I49" s="221"/>
      <c r="J49" s="221"/>
      <c r="K49" s="221"/>
      <c r="L49" s="277"/>
      <c r="M49" s="311"/>
      <c r="O49" s="277"/>
      <c r="P49" s="277"/>
      <c r="Q49" s="277"/>
      <c r="R49" s="277"/>
      <c r="S49" s="277"/>
      <c r="T49" s="277"/>
      <c r="U49" s="277"/>
    </row>
    <row r="50" spans="1:21">
      <c r="B50" s="255"/>
      <c r="C50" s="277" t="s">
        <v>36</v>
      </c>
      <c r="D50" s="255"/>
      <c r="E50" s="255"/>
      <c r="F50" s="277" t="s">
        <v>29</v>
      </c>
      <c r="G50" s="424" t="s">
        <v>671</v>
      </c>
      <c r="H50" s="424" t="s">
        <v>671</v>
      </c>
      <c r="I50" s="424" t="s">
        <v>671</v>
      </c>
      <c r="J50" s="424" t="s">
        <v>671</v>
      </c>
      <c r="K50" s="424" t="s">
        <v>671</v>
      </c>
      <c r="L50" s="277"/>
      <c r="M50" s="311"/>
      <c r="N50" s="269"/>
      <c r="O50" s="277"/>
      <c r="P50" s="277"/>
      <c r="Q50" s="277"/>
      <c r="R50" s="277"/>
      <c r="S50" s="277"/>
      <c r="T50" s="277"/>
      <c r="U50" s="277"/>
    </row>
    <row r="51" spans="1:21">
      <c r="M51" s="309"/>
    </row>
    <row r="52" spans="1:21">
      <c r="A52" s="220"/>
      <c r="B52" s="285" t="s">
        <v>309</v>
      </c>
      <c r="C52" s="220"/>
      <c r="D52" s="220"/>
      <c r="E52" s="220"/>
      <c r="F52" s="220"/>
      <c r="G52" s="424" t="s">
        <v>671</v>
      </c>
      <c r="H52" s="424" t="s">
        <v>671</v>
      </c>
      <c r="I52" s="424" t="s">
        <v>671</v>
      </c>
      <c r="J52" s="424" t="s">
        <v>671</v>
      </c>
      <c r="K52" s="424" t="s">
        <v>671</v>
      </c>
      <c r="L52" s="259"/>
      <c r="M52" s="252"/>
      <c r="N52" s="220" t="s">
        <v>455</v>
      </c>
    </row>
    <row r="53" spans="1:21">
      <c r="B53" s="257"/>
      <c r="C53" s="255"/>
      <c r="D53" s="255"/>
      <c r="E53" s="255"/>
      <c r="G53" s="255"/>
      <c r="H53" s="255"/>
      <c r="I53" s="255"/>
      <c r="J53" s="255"/>
      <c r="K53" s="255"/>
      <c r="M53" s="309"/>
    </row>
    <row r="54" spans="1:21">
      <c r="B54" s="255"/>
      <c r="C54" s="277" t="s">
        <v>264</v>
      </c>
      <c r="D54" s="255"/>
      <c r="E54" s="255"/>
      <c r="F54" s="277" t="s">
        <v>29</v>
      </c>
      <c r="G54" s="424" t="s">
        <v>671</v>
      </c>
      <c r="H54" s="424" t="s">
        <v>671</v>
      </c>
      <c r="I54" s="424" t="s">
        <v>671</v>
      </c>
      <c r="J54" s="424" t="s">
        <v>671</v>
      </c>
      <c r="K54" s="424" t="s">
        <v>671</v>
      </c>
      <c r="M54" s="312"/>
    </row>
    <row r="55" spans="1:21">
      <c r="B55" s="255"/>
      <c r="C55" s="277" t="s">
        <v>265</v>
      </c>
      <c r="D55" s="255"/>
      <c r="E55" s="255"/>
      <c r="F55" s="277" t="s">
        <v>29</v>
      </c>
      <c r="G55" s="424" t="s">
        <v>671</v>
      </c>
      <c r="H55" s="424" t="s">
        <v>671</v>
      </c>
      <c r="I55" s="424" t="s">
        <v>671</v>
      </c>
      <c r="J55" s="424" t="s">
        <v>671</v>
      </c>
      <c r="K55" s="424" t="s">
        <v>671</v>
      </c>
      <c r="M55" s="312"/>
    </row>
    <row r="56" spans="1:21">
      <c r="B56" s="255"/>
      <c r="C56" s="277" t="s">
        <v>266</v>
      </c>
      <c r="D56" s="255"/>
      <c r="E56" s="255"/>
      <c r="F56" s="277" t="s">
        <v>29</v>
      </c>
      <c r="G56" s="424" t="s">
        <v>671</v>
      </c>
      <c r="H56" s="424" t="s">
        <v>671</v>
      </c>
      <c r="I56" s="424" t="s">
        <v>671</v>
      </c>
      <c r="J56" s="424" t="s">
        <v>671</v>
      </c>
      <c r="K56" s="424" t="s">
        <v>671</v>
      </c>
      <c r="M56" s="312"/>
    </row>
    <row r="57" spans="1:21">
      <c r="B57" s="255"/>
      <c r="C57" s="277" t="s">
        <v>267</v>
      </c>
      <c r="D57" s="255"/>
      <c r="E57" s="255"/>
      <c r="F57" s="277" t="s">
        <v>29</v>
      </c>
      <c r="G57" s="424" t="s">
        <v>671</v>
      </c>
      <c r="H57" s="424" t="s">
        <v>671</v>
      </c>
      <c r="I57" s="424" t="s">
        <v>671</v>
      </c>
      <c r="J57" s="424" t="s">
        <v>671</v>
      </c>
      <c r="K57" s="424" t="s">
        <v>671</v>
      </c>
      <c r="M57" s="312"/>
    </row>
    <row r="58" spans="1:21">
      <c r="B58" s="255"/>
      <c r="C58" s="277" t="s">
        <v>268</v>
      </c>
      <c r="D58" s="255"/>
      <c r="E58" s="255"/>
      <c r="F58" s="277" t="s">
        <v>29</v>
      </c>
      <c r="G58" s="424" t="s">
        <v>671</v>
      </c>
      <c r="H58" s="424" t="s">
        <v>671</v>
      </c>
      <c r="I58" s="424" t="s">
        <v>671</v>
      </c>
      <c r="J58" s="424" t="s">
        <v>671</v>
      </c>
      <c r="K58" s="424" t="s">
        <v>671</v>
      </c>
      <c r="M58" s="312"/>
    </row>
    <row r="59" spans="1:21">
      <c r="B59" s="255"/>
      <c r="C59" s="277" t="s">
        <v>269</v>
      </c>
      <c r="D59" s="255"/>
      <c r="E59" s="255"/>
      <c r="F59" s="277" t="s">
        <v>29</v>
      </c>
      <c r="G59" s="424" t="s">
        <v>671</v>
      </c>
      <c r="H59" s="424" t="s">
        <v>671</v>
      </c>
      <c r="I59" s="424" t="s">
        <v>671</v>
      </c>
      <c r="J59" s="424" t="s">
        <v>671</v>
      </c>
      <c r="K59" s="424" t="s">
        <v>671</v>
      </c>
      <c r="M59" s="312"/>
    </row>
    <row r="60" spans="1:21">
      <c r="B60" s="255"/>
      <c r="C60" s="277" t="s">
        <v>270</v>
      </c>
      <c r="D60" s="255"/>
      <c r="E60" s="255"/>
      <c r="F60" s="277" t="s">
        <v>29</v>
      </c>
      <c r="G60" s="424" t="s">
        <v>671</v>
      </c>
      <c r="H60" s="424" t="s">
        <v>671</v>
      </c>
      <c r="I60" s="424" t="s">
        <v>671</v>
      </c>
      <c r="J60" s="424" t="s">
        <v>671</v>
      </c>
      <c r="K60" s="424" t="s">
        <v>671</v>
      </c>
      <c r="M60" s="312"/>
    </row>
    <row r="61" spans="1:21">
      <c r="B61" s="255"/>
      <c r="C61" s="277" t="s">
        <v>30</v>
      </c>
      <c r="D61" s="255"/>
      <c r="E61" s="255"/>
      <c r="F61" s="277" t="s">
        <v>29</v>
      </c>
      <c r="G61" s="424" t="s">
        <v>671</v>
      </c>
      <c r="H61" s="424" t="s">
        <v>671</v>
      </c>
      <c r="I61" s="424" t="s">
        <v>671</v>
      </c>
      <c r="J61" s="424" t="s">
        <v>671</v>
      </c>
      <c r="K61" s="424" t="s">
        <v>671</v>
      </c>
      <c r="M61" s="312"/>
    </row>
    <row r="62" spans="1:21">
      <c r="B62" s="255"/>
      <c r="C62" s="277" t="s">
        <v>271</v>
      </c>
      <c r="D62" s="255"/>
      <c r="E62" s="255"/>
      <c r="F62" s="277" t="s">
        <v>29</v>
      </c>
      <c r="G62" s="424" t="s">
        <v>671</v>
      </c>
      <c r="H62" s="424" t="s">
        <v>671</v>
      </c>
      <c r="I62" s="424" t="s">
        <v>671</v>
      </c>
      <c r="J62" s="424" t="s">
        <v>671</v>
      </c>
      <c r="K62" s="424" t="s">
        <v>671</v>
      </c>
      <c r="M62" s="312"/>
    </row>
    <row r="63" spans="1:21">
      <c r="B63" s="255"/>
      <c r="C63" s="277" t="s">
        <v>272</v>
      </c>
      <c r="D63" s="255"/>
      <c r="E63" s="255"/>
      <c r="F63" s="277" t="s">
        <v>29</v>
      </c>
      <c r="G63" s="424" t="s">
        <v>671</v>
      </c>
      <c r="H63" s="424" t="s">
        <v>671</v>
      </c>
      <c r="I63" s="424" t="s">
        <v>671</v>
      </c>
      <c r="J63" s="424" t="s">
        <v>671</v>
      </c>
      <c r="K63" s="424" t="s">
        <v>671</v>
      </c>
      <c r="M63" s="312"/>
    </row>
    <row r="64" spans="1:21">
      <c r="B64" s="255"/>
      <c r="C64" s="277" t="s">
        <v>273</v>
      </c>
      <c r="D64" s="255"/>
      <c r="E64" s="255"/>
      <c r="F64" s="277" t="s">
        <v>29</v>
      </c>
      <c r="G64" s="424" t="s">
        <v>671</v>
      </c>
      <c r="H64" s="424" t="s">
        <v>671</v>
      </c>
      <c r="I64" s="424" t="s">
        <v>671</v>
      </c>
      <c r="J64" s="424" t="s">
        <v>671</v>
      </c>
      <c r="K64" s="424" t="s">
        <v>671</v>
      </c>
      <c r="M64" s="312"/>
    </row>
    <row r="65" spans="1:16">
      <c r="B65" s="255"/>
      <c r="C65" s="255"/>
      <c r="D65" s="255"/>
      <c r="E65" s="255"/>
      <c r="G65" s="221"/>
      <c r="H65" s="221"/>
      <c r="I65" s="221"/>
      <c r="J65" s="221"/>
      <c r="K65" s="221"/>
      <c r="M65" s="312"/>
    </row>
    <row r="66" spans="1:16">
      <c r="B66" s="255"/>
      <c r="C66" s="277" t="s">
        <v>227</v>
      </c>
      <c r="D66" s="255"/>
      <c r="E66" s="255"/>
      <c r="F66" s="277" t="s">
        <v>29</v>
      </c>
      <c r="G66" s="424" t="s">
        <v>671</v>
      </c>
      <c r="H66" s="424" t="s">
        <v>671</v>
      </c>
      <c r="I66" s="424" t="s">
        <v>671</v>
      </c>
      <c r="J66" s="424" t="s">
        <v>671</v>
      </c>
      <c r="K66" s="424" t="s">
        <v>671</v>
      </c>
      <c r="M66" s="312"/>
    </row>
    <row r="67" spans="1:16">
      <c r="B67" s="255"/>
      <c r="C67" s="255"/>
      <c r="D67" s="255"/>
      <c r="E67" s="255"/>
      <c r="G67" s="221"/>
      <c r="H67" s="221"/>
      <c r="I67" s="221"/>
      <c r="J67" s="221"/>
      <c r="K67" s="221"/>
      <c r="M67" s="312"/>
    </row>
    <row r="68" spans="1:16">
      <c r="B68" s="255"/>
      <c r="C68" s="277" t="s">
        <v>36</v>
      </c>
      <c r="D68" s="255"/>
      <c r="E68" s="255"/>
      <c r="F68" s="277" t="s">
        <v>29</v>
      </c>
      <c r="G68" s="424" t="s">
        <v>671</v>
      </c>
      <c r="H68" s="424" t="s">
        <v>671</v>
      </c>
      <c r="I68" s="424" t="s">
        <v>671</v>
      </c>
      <c r="J68" s="424" t="s">
        <v>671</v>
      </c>
      <c r="K68" s="424" t="s">
        <v>671</v>
      </c>
      <c r="M68" s="312"/>
      <c r="N68" s="424" t="s">
        <v>671</v>
      </c>
    </row>
    <row r="69" spans="1:16">
      <c r="M69" s="309"/>
    </row>
    <row r="70" spans="1:16">
      <c r="A70" s="220"/>
      <c r="B70" s="285" t="s">
        <v>310</v>
      </c>
      <c r="C70" s="220"/>
      <c r="D70" s="220"/>
      <c r="E70" s="220"/>
      <c r="F70" s="220"/>
      <c r="G70" s="424" t="s">
        <v>671</v>
      </c>
      <c r="H70" s="424" t="s">
        <v>671</v>
      </c>
      <c r="I70" s="424" t="s">
        <v>671</v>
      </c>
      <c r="J70" s="424" t="s">
        <v>671</v>
      </c>
      <c r="K70" s="424" t="s">
        <v>671</v>
      </c>
      <c r="L70" s="259"/>
      <c r="M70" s="252"/>
      <c r="N70" s="220" t="s">
        <v>455</v>
      </c>
    </row>
    <row r="71" spans="1:16">
      <c r="M71" s="309"/>
    </row>
    <row r="72" spans="1:16">
      <c r="B72" s="255"/>
      <c r="C72" s="277" t="s">
        <v>276</v>
      </c>
      <c r="D72" s="255"/>
      <c r="E72" s="255"/>
      <c r="F72" s="277" t="s">
        <v>29</v>
      </c>
      <c r="G72" s="424" t="s">
        <v>671</v>
      </c>
      <c r="H72" s="424" t="s">
        <v>671</v>
      </c>
      <c r="I72" s="424" t="s">
        <v>671</v>
      </c>
      <c r="J72" s="424" t="s">
        <v>671</v>
      </c>
      <c r="K72" s="424" t="s">
        <v>671</v>
      </c>
      <c r="M72" s="313"/>
    </row>
    <row r="73" spans="1:16">
      <c r="B73" s="255"/>
      <c r="C73" s="277" t="s">
        <v>277</v>
      </c>
      <c r="D73" s="255"/>
      <c r="E73" s="255"/>
      <c r="F73" s="277" t="s">
        <v>29</v>
      </c>
      <c r="G73" s="424" t="s">
        <v>671</v>
      </c>
      <c r="H73" s="424" t="s">
        <v>671</v>
      </c>
      <c r="I73" s="424" t="s">
        <v>671</v>
      </c>
      <c r="J73" s="424" t="s">
        <v>671</v>
      </c>
      <c r="K73" s="424" t="s">
        <v>671</v>
      </c>
      <c r="M73" s="313"/>
    </row>
    <row r="74" spans="1:16">
      <c r="B74" s="255"/>
      <c r="C74" s="277" t="s">
        <v>278</v>
      </c>
      <c r="D74" s="255"/>
      <c r="E74" s="255"/>
      <c r="F74" s="277" t="s">
        <v>29</v>
      </c>
      <c r="G74" s="424" t="s">
        <v>671</v>
      </c>
      <c r="H74" s="424" t="s">
        <v>671</v>
      </c>
      <c r="I74" s="424" t="s">
        <v>671</v>
      </c>
      <c r="J74" s="424" t="s">
        <v>671</v>
      </c>
      <c r="K74" s="424" t="s">
        <v>671</v>
      </c>
      <c r="M74" s="313"/>
    </row>
    <row r="75" spans="1:16">
      <c r="B75" s="255"/>
      <c r="C75" s="277" t="s">
        <v>279</v>
      </c>
      <c r="D75" s="255"/>
      <c r="E75" s="255"/>
      <c r="F75" s="277" t="s">
        <v>29</v>
      </c>
      <c r="G75" s="424" t="s">
        <v>671</v>
      </c>
      <c r="H75" s="424" t="s">
        <v>671</v>
      </c>
      <c r="I75" s="424" t="s">
        <v>671</v>
      </c>
      <c r="J75" s="424" t="s">
        <v>671</v>
      </c>
      <c r="K75" s="424" t="s">
        <v>671</v>
      </c>
      <c r="M75" s="313"/>
    </row>
    <row r="76" spans="1:16">
      <c r="B76" s="255"/>
      <c r="C76" s="277" t="s">
        <v>280</v>
      </c>
      <c r="D76" s="255"/>
      <c r="E76" s="255"/>
      <c r="F76" s="277" t="s">
        <v>29</v>
      </c>
      <c r="G76" s="424" t="s">
        <v>671</v>
      </c>
      <c r="H76" s="424" t="s">
        <v>671</v>
      </c>
      <c r="I76" s="424" t="s">
        <v>671</v>
      </c>
      <c r="J76" s="424" t="s">
        <v>671</v>
      </c>
      <c r="K76" s="424" t="s">
        <v>671</v>
      </c>
      <c r="M76" s="313"/>
    </row>
    <row r="77" spans="1:16">
      <c r="B77" s="255"/>
      <c r="C77" s="277" t="s">
        <v>281</v>
      </c>
      <c r="D77" s="255"/>
      <c r="E77" s="255"/>
      <c r="F77" s="277" t="s">
        <v>29</v>
      </c>
      <c r="G77" s="424" t="s">
        <v>671</v>
      </c>
      <c r="H77" s="424" t="s">
        <v>671</v>
      </c>
      <c r="I77" s="424" t="s">
        <v>671</v>
      </c>
      <c r="J77" s="424" t="s">
        <v>671</v>
      </c>
      <c r="K77" s="424" t="s">
        <v>671</v>
      </c>
      <c r="M77" s="313"/>
      <c r="P77" s="330"/>
    </row>
    <row r="78" spans="1:16">
      <c r="B78" s="255"/>
      <c r="C78" s="277" t="s">
        <v>282</v>
      </c>
      <c r="D78" s="255"/>
      <c r="E78" s="255"/>
      <c r="F78" s="277" t="s">
        <v>29</v>
      </c>
      <c r="G78" s="424" t="s">
        <v>671</v>
      </c>
      <c r="H78" s="424" t="s">
        <v>671</v>
      </c>
      <c r="I78" s="424" t="s">
        <v>671</v>
      </c>
      <c r="J78" s="424" t="s">
        <v>671</v>
      </c>
      <c r="K78" s="424" t="s">
        <v>671</v>
      </c>
      <c r="M78" s="313"/>
    </row>
    <row r="79" spans="1:16">
      <c r="B79" s="255"/>
      <c r="C79" s="277" t="s">
        <v>283</v>
      </c>
      <c r="D79" s="255"/>
      <c r="E79" s="255"/>
      <c r="F79" s="277" t="s">
        <v>29</v>
      </c>
      <c r="G79" s="424" t="s">
        <v>671</v>
      </c>
      <c r="H79" s="424" t="s">
        <v>671</v>
      </c>
      <c r="I79" s="424" t="s">
        <v>671</v>
      </c>
      <c r="J79" s="424" t="s">
        <v>671</v>
      </c>
      <c r="K79" s="424" t="s">
        <v>671</v>
      </c>
      <c r="M79" s="313"/>
      <c r="P79" s="366"/>
    </row>
    <row r="80" spans="1:16">
      <c r="B80" s="255"/>
      <c r="C80" s="277" t="s">
        <v>284</v>
      </c>
      <c r="D80" s="255"/>
      <c r="E80" s="255"/>
      <c r="F80" s="277" t="s">
        <v>29</v>
      </c>
      <c r="G80" s="424" t="s">
        <v>671</v>
      </c>
      <c r="H80" s="424" t="s">
        <v>671</v>
      </c>
      <c r="I80" s="424" t="s">
        <v>671</v>
      </c>
      <c r="J80" s="424" t="s">
        <v>671</v>
      </c>
      <c r="K80" s="424" t="s">
        <v>671</v>
      </c>
      <c r="M80" s="313"/>
    </row>
    <row r="81" spans="1:14">
      <c r="B81" s="255"/>
      <c r="C81" s="277" t="s">
        <v>285</v>
      </c>
      <c r="D81" s="255"/>
      <c r="E81" s="255"/>
      <c r="F81" s="277" t="s">
        <v>29</v>
      </c>
      <c r="G81" s="424" t="s">
        <v>671</v>
      </c>
      <c r="H81" s="424" t="s">
        <v>671</v>
      </c>
      <c r="I81" s="424" t="s">
        <v>671</v>
      </c>
      <c r="J81" s="424" t="s">
        <v>671</v>
      </c>
      <c r="K81" s="424" t="s">
        <v>671</v>
      </c>
      <c r="M81" s="313"/>
    </row>
    <row r="82" spans="1:14">
      <c r="B82" s="255"/>
      <c r="C82" s="277" t="s">
        <v>286</v>
      </c>
      <c r="D82" s="255"/>
      <c r="E82" s="255"/>
      <c r="F82" s="277" t="s">
        <v>29</v>
      </c>
      <c r="G82" s="424" t="s">
        <v>671</v>
      </c>
      <c r="H82" s="424" t="s">
        <v>671</v>
      </c>
      <c r="I82" s="424" t="s">
        <v>671</v>
      </c>
      <c r="J82" s="424" t="s">
        <v>671</v>
      </c>
      <c r="K82" s="424" t="s">
        <v>671</v>
      </c>
      <c r="M82" s="313"/>
    </row>
    <row r="83" spans="1:14">
      <c r="B83" s="255"/>
      <c r="C83" s="277" t="s">
        <v>287</v>
      </c>
      <c r="D83" s="255"/>
      <c r="E83" s="255"/>
      <c r="F83" s="277" t="s">
        <v>29</v>
      </c>
      <c r="G83" s="221"/>
      <c r="H83" s="221"/>
      <c r="I83" s="221"/>
      <c r="J83" s="221"/>
      <c r="K83" s="221"/>
      <c r="M83" s="313"/>
    </row>
    <row r="84" spans="1:14">
      <c r="B84" s="255"/>
      <c r="C84" s="277" t="s">
        <v>288</v>
      </c>
      <c r="D84" s="255"/>
      <c r="E84" s="255"/>
      <c r="F84" s="277" t="s">
        <v>29</v>
      </c>
      <c r="G84" s="424" t="s">
        <v>671</v>
      </c>
      <c r="H84" s="424" t="s">
        <v>671</v>
      </c>
      <c r="I84" s="424" t="s">
        <v>671</v>
      </c>
      <c r="J84" s="424" t="s">
        <v>671</v>
      </c>
      <c r="K84" s="424" t="s">
        <v>671</v>
      </c>
      <c r="M84" s="313"/>
    </row>
    <row r="85" spans="1:14">
      <c r="B85" s="255"/>
      <c r="C85" s="255"/>
      <c r="D85" s="255"/>
      <c r="E85" s="255"/>
      <c r="G85" s="221"/>
      <c r="H85" s="221"/>
      <c r="I85" s="221"/>
      <c r="J85" s="221"/>
      <c r="K85" s="221"/>
      <c r="M85" s="309"/>
    </row>
    <row r="86" spans="1:14">
      <c r="B86" s="255"/>
      <c r="C86" s="277" t="s">
        <v>227</v>
      </c>
      <c r="D86" s="255"/>
      <c r="E86" s="255"/>
      <c r="F86" s="277" t="s">
        <v>29</v>
      </c>
      <c r="G86" s="424" t="s">
        <v>671</v>
      </c>
      <c r="H86" s="424" t="s">
        <v>671</v>
      </c>
      <c r="I86" s="424" t="s">
        <v>671</v>
      </c>
      <c r="J86" s="424" t="s">
        <v>671</v>
      </c>
      <c r="K86" s="424" t="s">
        <v>671</v>
      </c>
      <c r="M86" s="309"/>
    </row>
    <row r="87" spans="1:14">
      <c r="B87" s="255"/>
      <c r="C87" s="255"/>
      <c r="D87" s="255"/>
      <c r="E87" s="255"/>
      <c r="G87" s="244"/>
      <c r="H87" s="244"/>
      <c r="I87" s="244"/>
      <c r="J87" s="244"/>
      <c r="K87" s="244"/>
      <c r="M87" s="309"/>
    </row>
    <row r="88" spans="1:14">
      <c r="B88" s="255"/>
      <c r="C88" s="277" t="s">
        <v>36</v>
      </c>
      <c r="D88" s="255"/>
      <c r="E88" s="255"/>
      <c r="F88" s="277" t="s">
        <v>29</v>
      </c>
      <c r="G88" s="424" t="s">
        <v>671</v>
      </c>
      <c r="H88" s="424" t="s">
        <v>671</v>
      </c>
      <c r="I88" s="424" t="s">
        <v>671</v>
      </c>
      <c r="J88" s="424" t="s">
        <v>671</v>
      </c>
      <c r="K88" s="424" t="s">
        <v>671</v>
      </c>
      <c r="M88" s="312"/>
      <c r="N88" s="424" t="s">
        <v>671</v>
      </c>
    </row>
    <row r="89" spans="1:14">
      <c r="M89" s="309"/>
    </row>
    <row r="90" spans="1:14">
      <c r="A90" s="220"/>
      <c r="B90" s="285" t="s">
        <v>311</v>
      </c>
      <c r="C90" s="220"/>
      <c r="D90" s="220"/>
      <c r="E90" s="220"/>
      <c r="F90" s="220"/>
      <c r="G90" s="424" t="s">
        <v>671</v>
      </c>
      <c r="H90" s="424" t="s">
        <v>671</v>
      </c>
      <c r="I90" s="424" t="s">
        <v>671</v>
      </c>
      <c r="J90" s="424" t="s">
        <v>671</v>
      </c>
      <c r="K90" s="424" t="s">
        <v>671</v>
      </c>
      <c r="L90" s="259"/>
      <c r="M90" s="252"/>
      <c r="N90" s="220" t="s">
        <v>455</v>
      </c>
    </row>
    <row r="91" spans="1:14">
      <c r="M91" s="309"/>
    </row>
    <row r="92" spans="1:14">
      <c r="B92" s="255"/>
      <c r="C92" s="277" t="s">
        <v>276</v>
      </c>
      <c r="D92" s="255"/>
      <c r="E92" s="255"/>
      <c r="F92" s="277" t="s">
        <v>29</v>
      </c>
      <c r="G92" s="424" t="s">
        <v>671</v>
      </c>
      <c r="H92" s="424" t="s">
        <v>671</v>
      </c>
      <c r="I92" s="424" t="s">
        <v>671</v>
      </c>
      <c r="J92" s="424" t="s">
        <v>671</v>
      </c>
      <c r="K92" s="424" t="s">
        <v>671</v>
      </c>
      <c r="M92" s="312"/>
    </row>
    <row r="93" spans="1:14">
      <c r="C93" s="277" t="s">
        <v>277</v>
      </c>
      <c r="D93" s="255"/>
      <c r="E93" s="255"/>
      <c r="F93" s="277" t="s">
        <v>29</v>
      </c>
      <c r="G93" s="424" t="s">
        <v>671</v>
      </c>
      <c r="H93" s="424" t="s">
        <v>671</v>
      </c>
      <c r="I93" s="424" t="s">
        <v>671</v>
      </c>
      <c r="J93" s="424" t="s">
        <v>671</v>
      </c>
      <c r="K93" s="424" t="s">
        <v>671</v>
      </c>
      <c r="M93" s="312"/>
    </row>
    <row r="94" spans="1:14">
      <c r="C94" s="277" t="s">
        <v>278</v>
      </c>
      <c r="D94" s="255"/>
      <c r="E94" s="255"/>
      <c r="F94" s="277" t="s">
        <v>29</v>
      </c>
      <c r="G94" s="424" t="s">
        <v>671</v>
      </c>
      <c r="H94" s="424" t="s">
        <v>671</v>
      </c>
      <c r="I94" s="424" t="s">
        <v>671</v>
      </c>
      <c r="J94" s="424" t="s">
        <v>671</v>
      </c>
      <c r="K94" s="424" t="s">
        <v>671</v>
      </c>
      <c r="M94" s="312"/>
    </row>
    <row r="95" spans="1:14">
      <c r="C95" s="277" t="s">
        <v>279</v>
      </c>
      <c r="D95" s="255"/>
      <c r="E95" s="255"/>
      <c r="F95" s="277" t="s">
        <v>29</v>
      </c>
      <c r="G95" s="424" t="s">
        <v>671</v>
      </c>
      <c r="H95" s="424" t="s">
        <v>671</v>
      </c>
      <c r="I95" s="424" t="s">
        <v>671</v>
      </c>
      <c r="J95" s="424" t="s">
        <v>671</v>
      </c>
      <c r="K95" s="424" t="s">
        <v>671</v>
      </c>
      <c r="M95" s="312"/>
    </row>
    <row r="96" spans="1:14">
      <c r="C96" s="277" t="s">
        <v>280</v>
      </c>
      <c r="D96" s="255"/>
      <c r="E96" s="255"/>
      <c r="F96" s="277" t="s">
        <v>29</v>
      </c>
      <c r="G96" s="424" t="s">
        <v>671</v>
      </c>
      <c r="H96" s="424" t="s">
        <v>671</v>
      </c>
      <c r="I96" s="424" t="s">
        <v>671</v>
      </c>
      <c r="J96" s="424" t="s">
        <v>671</v>
      </c>
      <c r="K96" s="424" t="s">
        <v>671</v>
      </c>
      <c r="M96" s="312"/>
    </row>
    <row r="97" spans="1:14">
      <c r="C97" s="277" t="s">
        <v>281</v>
      </c>
      <c r="D97" s="255"/>
      <c r="E97" s="255"/>
      <c r="F97" s="277" t="s">
        <v>29</v>
      </c>
      <c r="G97" s="424" t="s">
        <v>671</v>
      </c>
      <c r="H97" s="424" t="s">
        <v>671</v>
      </c>
      <c r="I97" s="424" t="s">
        <v>671</v>
      </c>
      <c r="J97" s="424" t="s">
        <v>671</v>
      </c>
      <c r="K97" s="424" t="s">
        <v>671</v>
      </c>
      <c r="M97" s="312"/>
    </row>
    <row r="98" spans="1:14">
      <c r="C98" s="277" t="s">
        <v>282</v>
      </c>
      <c r="D98" s="255"/>
      <c r="E98" s="255"/>
      <c r="F98" s="277" t="s">
        <v>29</v>
      </c>
      <c r="G98" s="424" t="s">
        <v>671</v>
      </c>
      <c r="H98" s="424" t="s">
        <v>671</v>
      </c>
      <c r="I98" s="424" t="s">
        <v>671</v>
      </c>
      <c r="J98" s="424" t="s">
        <v>671</v>
      </c>
      <c r="K98" s="424" t="s">
        <v>671</v>
      </c>
      <c r="M98" s="312"/>
    </row>
    <row r="99" spans="1:14">
      <c r="C99" s="277" t="s">
        <v>283</v>
      </c>
      <c r="D99" s="255"/>
      <c r="E99" s="255"/>
      <c r="F99" s="277" t="s">
        <v>29</v>
      </c>
      <c r="G99" s="424" t="s">
        <v>671</v>
      </c>
      <c r="H99" s="424" t="s">
        <v>671</v>
      </c>
      <c r="I99" s="424" t="s">
        <v>671</v>
      </c>
      <c r="J99" s="424" t="s">
        <v>671</v>
      </c>
      <c r="K99" s="424" t="s">
        <v>671</v>
      </c>
      <c r="M99" s="312"/>
    </row>
    <row r="100" spans="1:14">
      <c r="C100" s="277" t="s">
        <v>284</v>
      </c>
      <c r="D100" s="255"/>
      <c r="E100" s="255"/>
      <c r="F100" s="277" t="s">
        <v>29</v>
      </c>
      <c r="G100" s="424" t="s">
        <v>671</v>
      </c>
      <c r="H100" s="424" t="s">
        <v>671</v>
      </c>
      <c r="I100" s="424" t="s">
        <v>671</v>
      </c>
      <c r="J100" s="424" t="s">
        <v>671</v>
      </c>
      <c r="K100" s="424" t="s">
        <v>671</v>
      </c>
      <c r="M100" s="312"/>
    </row>
    <row r="101" spans="1:14">
      <c r="C101" s="277" t="s">
        <v>285</v>
      </c>
      <c r="D101" s="255"/>
      <c r="E101" s="255"/>
      <c r="F101" s="277" t="s">
        <v>29</v>
      </c>
      <c r="G101" s="424" t="s">
        <v>671</v>
      </c>
      <c r="H101" s="424" t="s">
        <v>671</v>
      </c>
      <c r="I101" s="424" t="s">
        <v>671</v>
      </c>
      <c r="J101" s="424" t="s">
        <v>671</v>
      </c>
      <c r="K101" s="424" t="s">
        <v>671</v>
      </c>
      <c r="M101" s="312"/>
    </row>
    <row r="102" spans="1:14">
      <c r="C102" s="277" t="s">
        <v>286</v>
      </c>
      <c r="D102" s="255"/>
      <c r="E102" s="255"/>
      <c r="F102" s="277" t="s">
        <v>29</v>
      </c>
      <c r="G102" s="424" t="s">
        <v>671</v>
      </c>
      <c r="H102" s="424" t="s">
        <v>671</v>
      </c>
      <c r="I102" s="424" t="s">
        <v>671</v>
      </c>
      <c r="J102" s="424" t="s">
        <v>671</v>
      </c>
      <c r="K102" s="424" t="s">
        <v>671</v>
      </c>
      <c r="M102" s="312"/>
    </row>
    <row r="103" spans="1:14">
      <c r="C103" s="277" t="s">
        <v>287</v>
      </c>
      <c r="D103" s="255"/>
      <c r="E103" s="255"/>
      <c r="F103" s="277" t="s">
        <v>29</v>
      </c>
      <c r="G103" s="221"/>
      <c r="H103" s="221"/>
      <c r="I103" s="221"/>
      <c r="J103" s="221"/>
      <c r="K103" s="221"/>
      <c r="M103" s="312"/>
    </row>
    <row r="104" spans="1:14">
      <c r="C104" s="277" t="s">
        <v>288</v>
      </c>
      <c r="D104" s="255"/>
      <c r="E104" s="255"/>
      <c r="F104" s="277" t="s">
        <v>29</v>
      </c>
      <c r="G104" s="424" t="s">
        <v>671</v>
      </c>
      <c r="H104" s="424" t="s">
        <v>671</v>
      </c>
      <c r="I104" s="424" t="s">
        <v>671</v>
      </c>
      <c r="J104" s="424" t="s">
        <v>671</v>
      </c>
      <c r="K104" s="424" t="s">
        <v>671</v>
      </c>
      <c r="M104" s="312"/>
    </row>
    <row r="105" spans="1:14">
      <c r="C105" s="255"/>
      <c r="D105" s="255"/>
      <c r="E105" s="255"/>
      <c r="G105" s="221"/>
      <c r="H105" s="221"/>
      <c r="I105" s="221"/>
      <c r="J105" s="221"/>
      <c r="K105" s="221"/>
      <c r="M105" s="309"/>
    </row>
    <row r="106" spans="1:14">
      <c r="C106" s="277" t="s">
        <v>227</v>
      </c>
      <c r="D106" s="255"/>
      <c r="E106" s="255"/>
      <c r="F106" s="277" t="s">
        <v>29</v>
      </c>
      <c r="G106" s="424" t="s">
        <v>671</v>
      </c>
      <c r="H106" s="424" t="s">
        <v>671</v>
      </c>
      <c r="I106" s="424" t="s">
        <v>671</v>
      </c>
      <c r="J106" s="424" t="s">
        <v>671</v>
      </c>
      <c r="K106" s="424" t="s">
        <v>671</v>
      </c>
      <c r="M106" s="309"/>
    </row>
    <row r="107" spans="1:14">
      <c r="C107" s="255"/>
      <c r="D107" s="255"/>
      <c r="E107" s="255"/>
      <c r="G107" s="244"/>
      <c r="H107" s="244"/>
      <c r="I107" s="244"/>
      <c r="J107" s="244"/>
      <c r="K107" s="244"/>
      <c r="M107" s="309"/>
    </row>
    <row r="108" spans="1:14">
      <c r="C108" s="277" t="s">
        <v>36</v>
      </c>
      <c r="D108" s="255"/>
      <c r="E108" s="255"/>
      <c r="F108" s="277" t="s">
        <v>29</v>
      </c>
      <c r="G108" s="424" t="s">
        <v>671</v>
      </c>
      <c r="H108" s="424" t="s">
        <v>671</v>
      </c>
      <c r="I108" s="424" t="s">
        <v>671</v>
      </c>
      <c r="J108" s="424" t="s">
        <v>671</v>
      </c>
      <c r="K108" s="424" t="s">
        <v>671</v>
      </c>
      <c r="M108" s="312"/>
      <c r="N108" s="424" t="s">
        <v>671</v>
      </c>
    </row>
    <row r="109" spans="1:14">
      <c r="M109" s="309"/>
    </row>
    <row r="110" spans="1:14">
      <c r="A110" s="259"/>
      <c r="B110" s="259" t="s">
        <v>422</v>
      </c>
      <c r="C110" s="259"/>
      <c r="D110" s="259"/>
      <c r="E110" s="259"/>
      <c r="F110" s="259"/>
      <c r="G110" s="424" t="s">
        <v>671</v>
      </c>
      <c r="H110" s="424" t="s">
        <v>671</v>
      </c>
      <c r="I110" s="424" t="s">
        <v>671</v>
      </c>
      <c r="J110" s="424" t="s">
        <v>671</v>
      </c>
      <c r="K110" s="424" t="s">
        <v>671</v>
      </c>
      <c r="L110" s="259"/>
      <c r="M110" s="252"/>
      <c r="N110" s="220" t="s">
        <v>455</v>
      </c>
    </row>
    <row r="111" spans="1:14">
      <c r="M111" s="309"/>
    </row>
    <row r="112" spans="1:14">
      <c r="B112" s="255"/>
      <c r="C112" s="277" t="s">
        <v>357</v>
      </c>
      <c r="D112" s="255"/>
      <c r="E112" s="255"/>
      <c r="F112" s="277" t="s">
        <v>29</v>
      </c>
      <c r="G112" s="424" t="s">
        <v>671</v>
      </c>
      <c r="H112" s="424" t="s">
        <v>671</v>
      </c>
      <c r="I112" s="424" t="s">
        <v>671</v>
      </c>
      <c r="J112" s="424" t="s">
        <v>671</v>
      </c>
      <c r="K112" s="424" t="s">
        <v>671</v>
      </c>
      <c r="M112" s="276"/>
      <c r="N112" s="424" t="s">
        <v>671</v>
      </c>
    </row>
    <row r="113" spans="1:14">
      <c r="B113" s="255"/>
      <c r="C113" s="277" t="s">
        <v>179</v>
      </c>
      <c r="D113" s="255"/>
      <c r="E113" s="255"/>
      <c r="F113" s="277" t="s">
        <v>29</v>
      </c>
      <c r="G113" s="424" t="s">
        <v>671</v>
      </c>
      <c r="H113" s="424" t="s">
        <v>671</v>
      </c>
      <c r="I113" s="424" t="s">
        <v>671</v>
      </c>
      <c r="J113" s="424" t="s">
        <v>671</v>
      </c>
      <c r="K113" s="424" t="s">
        <v>671</v>
      </c>
      <c r="M113" s="276"/>
      <c r="N113" s="424" t="s">
        <v>671</v>
      </c>
    </row>
    <row r="114" spans="1:14">
      <c r="M114" s="247"/>
    </row>
    <row r="116" spans="1:14">
      <c r="A116" s="259"/>
      <c r="B116" s="259" t="s">
        <v>314</v>
      </c>
      <c r="C116" s="259"/>
      <c r="D116" s="259"/>
      <c r="E116" s="259"/>
      <c r="F116" s="259"/>
      <c r="G116" s="424" t="s">
        <v>671</v>
      </c>
      <c r="H116" s="424" t="s">
        <v>671</v>
      </c>
      <c r="I116" s="424" t="s">
        <v>671</v>
      </c>
      <c r="J116" s="424" t="s">
        <v>671</v>
      </c>
      <c r="K116" s="424" t="s">
        <v>671</v>
      </c>
      <c r="L116" s="259"/>
      <c r="M116" s="252"/>
      <c r="N116" s="220" t="s">
        <v>455</v>
      </c>
    </row>
    <row r="117" spans="1:14">
      <c r="I117" s="255"/>
    </row>
    <row r="118" spans="1:14">
      <c r="B118" s="255"/>
      <c r="C118" s="277" t="s">
        <v>264</v>
      </c>
      <c r="D118" s="255"/>
      <c r="E118" s="255"/>
      <c r="G118" s="424" t="s">
        <v>671</v>
      </c>
      <c r="H118" s="424" t="s">
        <v>671</v>
      </c>
      <c r="I118" s="424" t="s">
        <v>671</v>
      </c>
      <c r="J118" s="424" t="s">
        <v>671</v>
      </c>
      <c r="K118" s="424" t="s">
        <v>671</v>
      </c>
      <c r="M118" s="314"/>
    </row>
    <row r="119" spans="1:14">
      <c r="B119" s="255"/>
      <c r="C119" s="277" t="s">
        <v>265</v>
      </c>
      <c r="D119" s="255"/>
      <c r="E119" s="255"/>
      <c r="G119" s="424" t="s">
        <v>671</v>
      </c>
      <c r="H119" s="424" t="s">
        <v>671</v>
      </c>
      <c r="I119" s="424" t="s">
        <v>671</v>
      </c>
      <c r="J119" s="424" t="s">
        <v>671</v>
      </c>
      <c r="K119" s="424" t="s">
        <v>671</v>
      </c>
      <c r="M119" s="251"/>
    </row>
    <row r="120" spans="1:14">
      <c r="B120" s="255"/>
      <c r="C120" s="277" t="s">
        <v>266</v>
      </c>
      <c r="D120" s="255"/>
      <c r="E120" s="255"/>
      <c r="G120" s="424" t="s">
        <v>671</v>
      </c>
      <c r="H120" s="424" t="s">
        <v>671</v>
      </c>
      <c r="I120" s="424" t="s">
        <v>671</v>
      </c>
      <c r="J120" s="424" t="s">
        <v>671</v>
      </c>
      <c r="K120" s="424" t="s">
        <v>671</v>
      </c>
      <c r="M120" s="251"/>
    </row>
    <row r="121" spans="1:14">
      <c r="B121" s="255"/>
      <c r="C121" s="277" t="s">
        <v>267</v>
      </c>
      <c r="D121" s="255"/>
      <c r="E121" s="255"/>
      <c r="G121" s="424" t="s">
        <v>671</v>
      </c>
      <c r="H121" s="424" t="s">
        <v>671</v>
      </c>
      <c r="I121" s="424" t="s">
        <v>671</v>
      </c>
      <c r="J121" s="424" t="s">
        <v>671</v>
      </c>
      <c r="K121" s="424" t="s">
        <v>671</v>
      </c>
      <c r="M121" s="314"/>
    </row>
    <row r="122" spans="1:14">
      <c r="B122" s="255"/>
      <c r="C122" s="277" t="s">
        <v>268</v>
      </c>
      <c r="D122" s="255"/>
      <c r="E122" s="255"/>
      <c r="G122" s="424" t="s">
        <v>671</v>
      </c>
      <c r="H122" s="424" t="s">
        <v>671</v>
      </c>
      <c r="I122" s="424" t="s">
        <v>671</v>
      </c>
      <c r="J122" s="424" t="s">
        <v>671</v>
      </c>
      <c r="K122" s="424" t="s">
        <v>671</v>
      </c>
      <c r="M122" s="314"/>
    </row>
    <row r="123" spans="1:14">
      <c r="B123" s="255"/>
      <c r="C123" s="277" t="s">
        <v>269</v>
      </c>
      <c r="D123" s="255"/>
      <c r="E123" s="255"/>
      <c r="G123" s="424" t="s">
        <v>671</v>
      </c>
      <c r="H123" s="424" t="s">
        <v>671</v>
      </c>
      <c r="I123" s="424" t="s">
        <v>671</v>
      </c>
      <c r="J123" s="424" t="s">
        <v>671</v>
      </c>
      <c r="K123" s="424" t="s">
        <v>671</v>
      </c>
      <c r="M123" s="314"/>
    </row>
    <row r="124" spans="1:14">
      <c r="B124" s="255"/>
      <c r="C124" s="277" t="s">
        <v>270</v>
      </c>
      <c r="D124" s="255"/>
      <c r="E124" s="255"/>
      <c r="G124" s="424" t="s">
        <v>671</v>
      </c>
      <c r="H124" s="424" t="s">
        <v>671</v>
      </c>
      <c r="I124" s="424" t="s">
        <v>671</v>
      </c>
      <c r="J124" s="424" t="s">
        <v>671</v>
      </c>
      <c r="K124" s="424" t="s">
        <v>671</v>
      </c>
      <c r="M124" s="314"/>
    </row>
    <row r="125" spans="1:14">
      <c r="B125" s="255"/>
      <c r="C125" s="277" t="s">
        <v>30</v>
      </c>
      <c r="D125" s="255"/>
      <c r="E125" s="255"/>
      <c r="G125" s="424" t="s">
        <v>671</v>
      </c>
      <c r="H125" s="424" t="s">
        <v>671</v>
      </c>
      <c r="I125" s="424" t="s">
        <v>671</v>
      </c>
      <c r="J125" s="424" t="s">
        <v>671</v>
      </c>
      <c r="K125" s="424" t="s">
        <v>671</v>
      </c>
      <c r="M125" s="314"/>
    </row>
    <row r="126" spans="1:14">
      <c r="B126" s="255"/>
      <c r="C126" s="277" t="s">
        <v>271</v>
      </c>
      <c r="D126" s="255"/>
      <c r="E126" s="255"/>
      <c r="G126" s="424" t="s">
        <v>671</v>
      </c>
      <c r="H126" s="424" t="s">
        <v>671</v>
      </c>
      <c r="I126" s="424" t="s">
        <v>671</v>
      </c>
      <c r="J126" s="424" t="s">
        <v>671</v>
      </c>
      <c r="K126" s="424" t="s">
        <v>671</v>
      </c>
      <c r="M126" s="314"/>
    </row>
    <row r="127" spans="1:14">
      <c r="B127" s="255"/>
      <c r="C127" s="277" t="s">
        <v>272</v>
      </c>
      <c r="D127" s="255"/>
      <c r="E127" s="255"/>
      <c r="G127" s="424" t="s">
        <v>671</v>
      </c>
      <c r="H127" s="424" t="s">
        <v>671</v>
      </c>
      <c r="I127" s="424" t="s">
        <v>671</v>
      </c>
      <c r="J127" s="424" t="s">
        <v>671</v>
      </c>
      <c r="K127" s="424" t="s">
        <v>671</v>
      </c>
      <c r="M127" s="314"/>
    </row>
    <row r="128" spans="1:14">
      <c r="B128" s="255"/>
      <c r="C128" s="277" t="s">
        <v>273</v>
      </c>
      <c r="D128" s="255"/>
      <c r="E128" s="255"/>
      <c r="G128" s="424" t="s">
        <v>671</v>
      </c>
      <c r="H128" s="424" t="s">
        <v>671</v>
      </c>
      <c r="I128" s="424" t="s">
        <v>671</v>
      </c>
      <c r="J128" s="424" t="s">
        <v>671</v>
      </c>
      <c r="K128" s="424" t="s">
        <v>671</v>
      </c>
      <c r="M128" s="314"/>
    </row>
    <row r="129" spans="1:14">
      <c r="B129" s="255"/>
      <c r="C129" s="255"/>
      <c r="D129" s="255"/>
      <c r="E129" s="255"/>
      <c r="G129" s="221"/>
      <c r="H129" s="221"/>
      <c r="I129" s="221"/>
      <c r="J129" s="221"/>
      <c r="K129" s="221"/>
      <c r="M129" s="314"/>
    </row>
    <row r="130" spans="1:14">
      <c r="B130" s="255"/>
      <c r="C130" s="277" t="s">
        <v>227</v>
      </c>
      <c r="D130" s="255"/>
      <c r="E130" s="255"/>
      <c r="G130" s="424" t="s">
        <v>671</v>
      </c>
      <c r="H130" s="424" t="s">
        <v>671</v>
      </c>
      <c r="I130" s="424" t="s">
        <v>671</v>
      </c>
      <c r="J130" s="424" t="s">
        <v>671</v>
      </c>
      <c r="K130" s="424" t="s">
        <v>671</v>
      </c>
      <c r="M130" s="314"/>
    </row>
    <row r="131" spans="1:14">
      <c r="B131" s="255"/>
      <c r="C131" s="255"/>
      <c r="D131" s="255"/>
      <c r="E131" s="255"/>
      <c r="G131" s="221"/>
      <c r="H131" s="221"/>
      <c r="I131" s="221"/>
      <c r="J131" s="221"/>
      <c r="K131" s="221"/>
    </row>
    <row r="132" spans="1:14">
      <c r="B132" s="255"/>
      <c r="C132" s="277" t="s">
        <v>36</v>
      </c>
      <c r="D132" s="255"/>
      <c r="E132" s="255"/>
      <c r="G132" s="424" t="s">
        <v>671</v>
      </c>
      <c r="H132" s="424" t="s">
        <v>671</v>
      </c>
      <c r="I132" s="424" t="s">
        <v>671</v>
      </c>
      <c r="J132" s="424" t="s">
        <v>671</v>
      </c>
      <c r="K132" s="424" t="s">
        <v>671</v>
      </c>
      <c r="M132" s="314"/>
    </row>
    <row r="133" spans="1:14">
      <c r="I133" s="255"/>
    </row>
    <row r="134" spans="1:14">
      <c r="A134" s="259"/>
      <c r="B134" s="259" t="s">
        <v>315</v>
      </c>
      <c r="C134" s="259"/>
      <c r="D134" s="259"/>
      <c r="E134" s="259"/>
      <c r="F134" s="259"/>
      <c r="G134" s="424" t="s">
        <v>671</v>
      </c>
      <c r="H134" s="424" t="s">
        <v>671</v>
      </c>
      <c r="I134" s="424" t="s">
        <v>671</v>
      </c>
      <c r="J134" s="424" t="s">
        <v>671</v>
      </c>
      <c r="K134" s="424" t="s">
        <v>671</v>
      </c>
      <c r="L134" s="259"/>
      <c r="M134" s="252"/>
      <c r="N134" s="220" t="s">
        <v>455</v>
      </c>
    </row>
    <row r="135" spans="1:14">
      <c r="B135" s="257"/>
      <c r="C135" s="255"/>
      <c r="D135" s="255"/>
      <c r="E135" s="255"/>
      <c r="G135" s="255"/>
      <c r="I135" s="255"/>
      <c r="J135" s="255"/>
      <c r="K135" s="255"/>
    </row>
    <row r="136" spans="1:14">
      <c r="B136" s="255"/>
      <c r="C136" s="277" t="s">
        <v>264</v>
      </c>
      <c r="D136" s="255"/>
      <c r="E136" s="255"/>
      <c r="G136" s="424" t="s">
        <v>671</v>
      </c>
      <c r="H136" s="424" t="s">
        <v>671</v>
      </c>
      <c r="I136" s="424" t="s">
        <v>671</v>
      </c>
      <c r="J136" s="424" t="s">
        <v>671</v>
      </c>
      <c r="K136" s="424" t="s">
        <v>671</v>
      </c>
      <c r="M136" s="314"/>
    </row>
    <row r="137" spans="1:14">
      <c r="B137" s="255"/>
      <c r="C137" s="277" t="s">
        <v>265</v>
      </c>
      <c r="D137" s="255"/>
      <c r="E137" s="255"/>
      <c r="G137" s="424" t="s">
        <v>671</v>
      </c>
      <c r="H137" s="424" t="s">
        <v>671</v>
      </c>
      <c r="I137" s="424" t="s">
        <v>671</v>
      </c>
      <c r="J137" s="424" t="s">
        <v>671</v>
      </c>
      <c r="K137" s="424" t="s">
        <v>671</v>
      </c>
      <c r="M137" s="314"/>
    </row>
    <row r="138" spans="1:14">
      <c r="B138" s="255"/>
      <c r="C138" s="277" t="s">
        <v>266</v>
      </c>
      <c r="D138" s="255"/>
      <c r="E138" s="255"/>
      <c r="G138" s="424" t="s">
        <v>671</v>
      </c>
      <c r="H138" s="424" t="s">
        <v>671</v>
      </c>
      <c r="I138" s="424" t="s">
        <v>671</v>
      </c>
      <c r="J138" s="424" t="s">
        <v>671</v>
      </c>
      <c r="K138" s="424" t="s">
        <v>671</v>
      </c>
      <c r="M138" s="314"/>
    </row>
    <row r="139" spans="1:14">
      <c r="B139" s="255"/>
      <c r="C139" s="277" t="s">
        <v>267</v>
      </c>
      <c r="D139" s="255"/>
      <c r="E139" s="255"/>
      <c r="G139" s="424" t="s">
        <v>671</v>
      </c>
      <c r="H139" s="424" t="s">
        <v>671</v>
      </c>
      <c r="I139" s="424" t="s">
        <v>671</v>
      </c>
      <c r="J139" s="424" t="s">
        <v>671</v>
      </c>
      <c r="K139" s="424" t="s">
        <v>671</v>
      </c>
      <c r="M139" s="314"/>
    </row>
    <row r="140" spans="1:14">
      <c r="B140" s="255"/>
      <c r="C140" s="277" t="s">
        <v>268</v>
      </c>
      <c r="D140" s="255"/>
      <c r="E140" s="255"/>
      <c r="G140" s="424" t="s">
        <v>671</v>
      </c>
      <c r="H140" s="424" t="s">
        <v>671</v>
      </c>
      <c r="I140" s="424" t="s">
        <v>671</v>
      </c>
      <c r="J140" s="424" t="s">
        <v>671</v>
      </c>
      <c r="K140" s="424" t="s">
        <v>671</v>
      </c>
      <c r="M140" s="314"/>
    </row>
    <row r="141" spans="1:14">
      <c r="B141" s="255"/>
      <c r="C141" s="277" t="s">
        <v>269</v>
      </c>
      <c r="D141" s="255"/>
      <c r="E141" s="255"/>
      <c r="G141" s="424" t="s">
        <v>671</v>
      </c>
      <c r="H141" s="424" t="s">
        <v>671</v>
      </c>
      <c r="I141" s="424" t="s">
        <v>671</v>
      </c>
      <c r="J141" s="424" t="s">
        <v>671</v>
      </c>
      <c r="K141" s="424" t="s">
        <v>671</v>
      </c>
      <c r="M141" s="314"/>
    </row>
    <row r="142" spans="1:14">
      <c r="B142" s="255"/>
      <c r="C142" s="277" t="s">
        <v>270</v>
      </c>
      <c r="D142" s="255"/>
      <c r="E142" s="255"/>
      <c r="G142" s="424" t="s">
        <v>671</v>
      </c>
      <c r="H142" s="424" t="s">
        <v>671</v>
      </c>
      <c r="I142" s="424" t="s">
        <v>671</v>
      </c>
      <c r="J142" s="424" t="s">
        <v>671</v>
      </c>
      <c r="K142" s="424" t="s">
        <v>671</v>
      </c>
      <c r="M142" s="314"/>
    </row>
    <row r="143" spans="1:14">
      <c r="B143" s="255"/>
      <c r="C143" s="277" t="s">
        <v>30</v>
      </c>
      <c r="D143" s="255"/>
      <c r="E143" s="255"/>
      <c r="G143" s="424" t="s">
        <v>671</v>
      </c>
      <c r="H143" s="424" t="s">
        <v>671</v>
      </c>
      <c r="I143" s="424" t="s">
        <v>671</v>
      </c>
      <c r="J143" s="424" t="s">
        <v>671</v>
      </c>
      <c r="K143" s="424" t="s">
        <v>671</v>
      </c>
      <c r="M143" s="314"/>
    </row>
    <row r="144" spans="1:14">
      <c r="B144" s="255"/>
      <c r="C144" s="277" t="s">
        <v>271</v>
      </c>
      <c r="D144" s="255"/>
      <c r="E144" s="255"/>
      <c r="G144" s="424" t="s">
        <v>671</v>
      </c>
      <c r="H144" s="424" t="s">
        <v>671</v>
      </c>
      <c r="I144" s="424" t="s">
        <v>671</v>
      </c>
      <c r="J144" s="424" t="s">
        <v>671</v>
      </c>
      <c r="K144" s="424" t="s">
        <v>671</v>
      </c>
      <c r="M144" s="314"/>
    </row>
    <row r="145" spans="1:14">
      <c r="B145" s="255"/>
      <c r="C145" s="277" t="s">
        <v>272</v>
      </c>
      <c r="D145" s="255"/>
      <c r="E145" s="255"/>
      <c r="G145" s="424" t="s">
        <v>671</v>
      </c>
      <c r="H145" s="424" t="s">
        <v>671</v>
      </c>
      <c r="I145" s="424" t="s">
        <v>671</v>
      </c>
      <c r="J145" s="424" t="s">
        <v>671</v>
      </c>
      <c r="K145" s="424" t="s">
        <v>671</v>
      </c>
      <c r="M145" s="314"/>
    </row>
    <row r="146" spans="1:14">
      <c r="B146" s="255"/>
      <c r="C146" s="277" t="s">
        <v>273</v>
      </c>
      <c r="D146" s="255"/>
      <c r="E146" s="255"/>
      <c r="G146" s="424" t="s">
        <v>671</v>
      </c>
      <c r="H146" s="424" t="s">
        <v>671</v>
      </c>
      <c r="I146" s="424" t="s">
        <v>671</v>
      </c>
      <c r="J146" s="424" t="s">
        <v>671</v>
      </c>
      <c r="K146" s="424" t="s">
        <v>671</v>
      </c>
      <c r="M146" s="314"/>
    </row>
    <row r="147" spans="1:14">
      <c r="B147" s="255"/>
      <c r="C147" s="255"/>
      <c r="D147" s="255"/>
      <c r="E147" s="255"/>
      <c r="G147" s="221"/>
      <c r="H147" s="221"/>
      <c r="I147" s="221"/>
      <c r="J147" s="221"/>
      <c r="K147" s="221"/>
      <c r="M147" s="314"/>
    </row>
    <row r="148" spans="1:14">
      <c r="B148" s="255"/>
      <c r="C148" s="277" t="s">
        <v>227</v>
      </c>
      <c r="D148" s="255"/>
      <c r="E148" s="255"/>
      <c r="G148" s="424" t="s">
        <v>671</v>
      </c>
      <c r="H148" s="424" t="s">
        <v>671</v>
      </c>
      <c r="I148" s="424" t="s">
        <v>671</v>
      </c>
      <c r="J148" s="424" t="s">
        <v>671</v>
      </c>
      <c r="K148" s="424" t="s">
        <v>671</v>
      </c>
      <c r="M148" s="314"/>
    </row>
    <row r="149" spans="1:14">
      <c r="B149" s="255"/>
      <c r="C149" s="255"/>
      <c r="D149" s="255"/>
      <c r="E149" s="255"/>
      <c r="G149" s="221"/>
      <c r="H149" s="221"/>
      <c r="I149" s="221"/>
      <c r="J149" s="221"/>
      <c r="K149" s="221"/>
      <c r="M149" s="314"/>
    </row>
    <row r="150" spans="1:14">
      <c r="B150" s="255"/>
      <c r="C150" s="277" t="s">
        <v>36</v>
      </c>
      <c r="D150" s="255"/>
      <c r="E150" s="255"/>
      <c r="G150" s="424" t="s">
        <v>671</v>
      </c>
      <c r="H150" s="424" t="s">
        <v>671</v>
      </c>
      <c r="I150" s="424" t="s">
        <v>671</v>
      </c>
      <c r="J150" s="424" t="s">
        <v>671</v>
      </c>
      <c r="K150" s="424" t="s">
        <v>671</v>
      </c>
      <c r="M150" s="314"/>
    </row>
    <row r="151" spans="1:14">
      <c r="I151" s="255"/>
    </row>
    <row r="152" spans="1:14">
      <c r="A152" s="259"/>
      <c r="B152" s="259" t="s">
        <v>316</v>
      </c>
      <c r="C152" s="259"/>
      <c r="D152" s="259"/>
      <c r="E152" s="259"/>
      <c r="F152" s="259"/>
      <c r="G152" s="424" t="s">
        <v>671</v>
      </c>
      <c r="H152" s="424" t="s">
        <v>671</v>
      </c>
      <c r="I152" s="424" t="s">
        <v>671</v>
      </c>
      <c r="J152" s="424" t="s">
        <v>671</v>
      </c>
      <c r="K152" s="424" t="s">
        <v>671</v>
      </c>
      <c r="L152" s="259"/>
      <c r="M152" s="252"/>
      <c r="N152" s="252"/>
    </row>
    <row r="153" spans="1:14">
      <c r="I153" s="255"/>
    </row>
    <row r="154" spans="1:14">
      <c r="B154" s="255"/>
      <c r="C154" s="277" t="s">
        <v>276</v>
      </c>
      <c r="D154" s="255"/>
      <c r="E154" s="255"/>
      <c r="G154" s="424" t="s">
        <v>671</v>
      </c>
      <c r="H154" s="424" t="s">
        <v>671</v>
      </c>
      <c r="I154" s="424" t="s">
        <v>671</v>
      </c>
      <c r="J154" s="424" t="s">
        <v>671</v>
      </c>
      <c r="K154" s="424" t="s">
        <v>671</v>
      </c>
      <c r="M154" s="314"/>
    </row>
    <row r="155" spans="1:14">
      <c r="B155" s="255"/>
      <c r="C155" s="277" t="s">
        <v>277</v>
      </c>
      <c r="D155" s="255"/>
      <c r="E155" s="255"/>
      <c r="G155" s="424" t="s">
        <v>671</v>
      </c>
      <c r="H155" s="424" t="s">
        <v>671</v>
      </c>
      <c r="I155" s="424" t="s">
        <v>671</v>
      </c>
      <c r="J155" s="424" t="s">
        <v>671</v>
      </c>
      <c r="K155" s="424" t="s">
        <v>671</v>
      </c>
      <c r="M155" s="314"/>
    </row>
    <row r="156" spans="1:14">
      <c r="B156" s="255"/>
      <c r="C156" s="277" t="s">
        <v>278</v>
      </c>
      <c r="D156" s="255"/>
      <c r="E156" s="255"/>
      <c r="G156" s="424" t="s">
        <v>671</v>
      </c>
      <c r="H156" s="424" t="s">
        <v>671</v>
      </c>
      <c r="I156" s="424" t="s">
        <v>671</v>
      </c>
      <c r="J156" s="424" t="s">
        <v>671</v>
      </c>
      <c r="K156" s="424" t="s">
        <v>671</v>
      </c>
      <c r="M156" s="314"/>
    </row>
    <row r="157" spans="1:14">
      <c r="B157" s="255"/>
      <c r="C157" s="277" t="s">
        <v>279</v>
      </c>
      <c r="D157" s="255"/>
      <c r="E157" s="255"/>
      <c r="G157" s="424" t="s">
        <v>671</v>
      </c>
      <c r="H157" s="424" t="s">
        <v>671</v>
      </c>
      <c r="I157" s="424" t="s">
        <v>671</v>
      </c>
      <c r="J157" s="424" t="s">
        <v>671</v>
      </c>
      <c r="K157" s="424" t="s">
        <v>671</v>
      </c>
      <c r="M157" s="314"/>
    </row>
    <row r="158" spans="1:14">
      <c r="B158" s="255"/>
      <c r="C158" s="277" t="s">
        <v>280</v>
      </c>
      <c r="D158" s="255"/>
      <c r="E158" s="255"/>
      <c r="G158" s="424" t="s">
        <v>671</v>
      </c>
      <c r="H158" s="424" t="s">
        <v>671</v>
      </c>
      <c r="I158" s="424" t="s">
        <v>671</v>
      </c>
      <c r="J158" s="424" t="s">
        <v>671</v>
      </c>
      <c r="K158" s="424" t="s">
        <v>671</v>
      </c>
      <c r="M158" s="314"/>
    </row>
    <row r="159" spans="1:14">
      <c r="B159" s="255"/>
      <c r="C159" s="277" t="s">
        <v>281</v>
      </c>
      <c r="D159" s="255"/>
      <c r="E159" s="255"/>
      <c r="G159" s="424" t="s">
        <v>671</v>
      </c>
      <c r="H159" s="424" t="s">
        <v>671</v>
      </c>
      <c r="I159" s="424" t="s">
        <v>671</v>
      </c>
      <c r="J159" s="424" t="s">
        <v>671</v>
      </c>
      <c r="K159" s="424" t="s">
        <v>671</v>
      </c>
      <c r="M159" s="314"/>
    </row>
    <row r="160" spans="1:14">
      <c r="B160" s="255"/>
      <c r="C160" s="277" t="s">
        <v>282</v>
      </c>
      <c r="D160" s="255"/>
      <c r="E160" s="255"/>
      <c r="G160" s="424" t="s">
        <v>671</v>
      </c>
      <c r="H160" s="424" t="s">
        <v>671</v>
      </c>
      <c r="I160" s="424" t="s">
        <v>671</v>
      </c>
      <c r="J160" s="424" t="s">
        <v>671</v>
      </c>
      <c r="K160" s="424" t="s">
        <v>671</v>
      </c>
      <c r="M160" s="314"/>
    </row>
    <row r="161" spans="1:14">
      <c r="B161" s="255"/>
      <c r="C161" s="277" t="s">
        <v>283</v>
      </c>
      <c r="D161" s="255"/>
      <c r="E161" s="255"/>
      <c r="G161" s="424" t="s">
        <v>671</v>
      </c>
      <c r="H161" s="424" t="s">
        <v>671</v>
      </c>
      <c r="I161" s="424" t="s">
        <v>671</v>
      </c>
      <c r="J161" s="424" t="s">
        <v>671</v>
      </c>
      <c r="K161" s="424" t="s">
        <v>671</v>
      </c>
      <c r="M161" s="314"/>
    </row>
    <row r="162" spans="1:14">
      <c r="B162" s="255"/>
      <c r="C162" s="277" t="s">
        <v>284</v>
      </c>
      <c r="D162" s="255"/>
      <c r="E162" s="255"/>
      <c r="G162" s="424" t="s">
        <v>671</v>
      </c>
      <c r="H162" s="424" t="s">
        <v>671</v>
      </c>
      <c r="I162" s="424" t="s">
        <v>671</v>
      </c>
      <c r="J162" s="424" t="s">
        <v>671</v>
      </c>
      <c r="K162" s="424" t="s">
        <v>671</v>
      </c>
    </row>
    <row r="163" spans="1:14">
      <c r="B163" s="255"/>
      <c r="C163" s="277" t="s">
        <v>285</v>
      </c>
      <c r="D163" s="255"/>
      <c r="E163" s="255"/>
      <c r="G163" s="424" t="s">
        <v>671</v>
      </c>
      <c r="H163" s="424" t="s">
        <v>671</v>
      </c>
      <c r="I163" s="424" t="s">
        <v>671</v>
      </c>
      <c r="J163" s="424" t="s">
        <v>671</v>
      </c>
      <c r="K163" s="424" t="s">
        <v>671</v>
      </c>
      <c r="M163" s="314"/>
    </row>
    <row r="164" spans="1:14">
      <c r="B164" s="255"/>
      <c r="C164" s="277" t="s">
        <v>286</v>
      </c>
      <c r="D164" s="255"/>
      <c r="E164" s="255"/>
      <c r="G164" s="424" t="s">
        <v>671</v>
      </c>
      <c r="H164" s="424" t="s">
        <v>671</v>
      </c>
      <c r="I164" s="424" t="s">
        <v>671</v>
      </c>
      <c r="J164" s="424" t="s">
        <v>671</v>
      </c>
      <c r="K164" s="424" t="s">
        <v>671</v>
      </c>
      <c r="M164" s="314"/>
    </row>
    <row r="165" spans="1:14">
      <c r="B165" s="255"/>
      <c r="C165" s="277" t="s">
        <v>287</v>
      </c>
      <c r="D165" s="255"/>
      <c r="E165" s="255"/>
      <c r="G165" s="221"/>
      <c r="H165" s="221"/>
      <c r="I165" s="221"/>
      <c r="J165" s="221"/>
      <c r="K165" s="221"/>
      <c r="M165" s="314"/>
    </row>
    <row r="166" spans="1:14">
      <c r="B166" s="255"/>
      <c r="C166" s="277" t="s">
        <v>288</v>
      </c>
      <c r="D166" s="255"/>
      <c r="E166" s="255"/>
      <c r="G166" s="424" t="s">
        <v>671</v>
      </c>
      <c r="H166" s="424" t="s">
        <v>671</v>
      </c>
      <c r="I166" s="424" t="s">
        <v>671</v>
      </c>
      <c r="J166" s="424" t="s">
        <v>671</v>
      </c>
      <c r="K166" s="424" t="s">
        <v>671</v>
      </c>
      <c r="M166" s="314"/>
    </row>
    <row r="167" spans="1:14">
      <c r="B167" s="255"/>
      <c r="C167" s="255"/>
      <c r="D167" s="255"/>
      <c r="E167" s="255"/>
      <c r="G167" s="221"/>
      <c r="H167" s="221"/>
      <c r="I167" s="221"/>
      <c r="J167" s="221"/>
      <c r="K167" s="221"/>
      <c r="M167" s="314"/>
    </row>
    <row r="168" spans="1:14">
      <c r="B168" s="255"/>
      <c r="C168" s="277" t="s">
        <v>227</v>
      </c>
      <c r="D168" s="255"/>
      <c r="E168" s="255"/>
      <c r="G168" s="424" t="s">
        <v>671</v>
      </c>
      <c r="H168" s="424" t="s">
        <v>671</v>
      </c>
      <c r="I168" s="424" t="s">
        <v>671</v>
      </c>
      <c r="J168" s="424" t="s">
        <v>671</v>
      </c>
      <c r="K168" s="424" t="s">
        <v>671</v>
      </c>
      <c r="M168" s="314"/>
    </row>
    <row r="169" spans="1:14">
      <c r="B169" s="255"/>
      <c r="C169" s="255"/>
      <c r="D169" s="255"/>
      <c r="E169" s="255"/>
      <c r="G169" s="251"/>
      <c r="I169" s="251"/>
      <c r="J169" s="251"/>
      <c r="K169" s="251"/>
    </row>
    <row r="170" spans="1:14">
      <c r="B170" s="255"/>
      <c r="C170" s="277" t="s">
        <v>36</v>
      </c>
      <c r="D170" s="255"/>
      <c r="E170" s="255"/>
      <c r="G170" s="424" t="s">
        <v>671</v>
      </c>
      <c r="H170" s="424" t="s">
        <v>671</v>
      </c>
      <c r="I170" s="424" t="s">
        <v>671</v>
      </c>
      <c r="J170" s="424" t="s">
        <v>671</v>
      </c>
      <c r="K170" s="424" t="s">
        <v>671</v>
      </c>
      <c r="M170" s="314"/>
    </row>
    <row r="171" spans="1:14">
      <c r="I171" s="255"/>
    </row>
    <row r="172" spans="1:14">
      <c r="A172" s="259"/>
      <c r="B172" s="259" t="s">
        <v>317</v>
      </c>
      <c r="C172" s="259"/>
      <c r="D172" s="259"/>
      <c r="E172" s="259"/>
      <c r="F172" s="259"/>
      <c r="G172" s="424" t="s">
        <v>671</v>
      </c>
      <c r="H172" s="424" t="s">
        <v>671</v>
      </c>
      <c r="I172" s="424" t="s">
        <v>671</v>
      </c>
      <c r="J172" s="424" t="s">
        <v>671</v>
      </c>
      <c r="K172" s="424" t="s">
        <v>671</v>
      </c>
      <c r="L172" s="259"/>
      <c r="M172" s="252"/>
      <c r="N172" s="220" t="s">
        <v>455</v>
      </c>
    </row>
    <row r="173" spans="1:14">
      <c r="I173" s="255"/>
    </row>
    <row r="174" spans="1:14">
      <c r="B174" s="255"/>
      <c r="C174" s="277" t="s">
        <v>276</v>
      </c>
      <c r="D174" s="255"/>
      <c r="E174" s="255"/>
      <c r="G174" s="424" t="s">
        <v>671</v>
      </c>
      <c r="H174" s="424" t="s">
        <v>671</v>
      </c>
      <c r="I174" s="424" t="s">
        <v>671</v>
      </c>
      <c r="J174" s="424" t="s">
        <v>671</v>
      </c>
      <c r="K174" s="424" t="s">
        <v>671</v>
      </c>
      <c r="M174" s="314"/>
    </row>
    <row r="175" spans="1:14">
      <c r="C175" s="277" t="s">
        <v>277</v>
      </c>
      <c r="D175" s="255"/>
      <c r="E175" s="255"/>
      <c r="G175" s="424" t="s">
        <v>671</v>
      </c>
      <c r="H175" s="424" t="s">
        <v>671</v>
      </c>
      <c r="I175" s="424" t="s">
        <v>671</v>
      </c>
      <c r="J175" s="424" t="s">
        <v>671</v>
      </c>
      <c r="K175" s="424" t="s">
        <v>671</v>
      </c>
      <c r="M175" s="314"/>
    </row>
    <row r="176" spans="1:14">
      <c r="C176" s="277" t="s">
        <v>278</v>
      </c>
      <c r="D176" s="255"/>
      <c r="E176" s="255"/>
      <c r="G176" s="424" t="s">
        <v>671</v>
      </c>
      <c r="H176" s="424" t="s">
        <v>671</v>
      </c>
      <c r="I176" s="424" t="s">
        <v>671</v>
      </c>
      <c r="J176" s="424" t="s">
        <v>671</v>
      </c>
      <c r="K176" s="424" t="s">
        <v>671</v>
      </c>
      <c r="M176" s="314"/>
    </row>
    <row r="177" spans="2:14">
      <c r="C177" s="277" t="s">
        <v>279</v>
      </c>
      <c r="D177" s="255"/>
      <c r="E177" s="255"/>
      <c r="G177" s="424" t="s">
        <v>671</v>
      </c>
      <c r="H177" s="424" t="s">
        <v>671</v>
      </c>
      <c r="I177" s="424" t="s">
        <v>671</v>
      </c>
      <c r="J177" s="424" t="s">
        <v>671</v>
      </c>
      <c r="K177" s="424" t="s">
        <v>671</v>
      </c>
      <c r="M177" s="314"/>
    </row>
    <row r="178" spans="2:14">
      <c r="C178" s="277" t="s">
        <v>280</v>
      </c>
      <c r="D178" s="255"/>
      <c r="E178" s="255"/>
      <c r="G178" s="424" t="s">
        <v>671</v>
      </c>
      <c r="H178" s="424" t="s">
        <v>671</v>
      </c>
      <c r="I178" s="424" t="s">
        <v>671</v>
      </c>
      <c r="J178" s="424" t="s">
        <v>671</v>
      </c>
      <c r="K178" s="424" t="s">
        <v>671</v>
      </c>
      <c r="M178" s="314"/>
    </row>
    <row r="179" spans="2:14">
      <c r="C179" s="277" t="s">
        <v>281</v>
      </c>
      <c r="D179" s="255"/>
      <c r="E179" s="255"/>
      <c r="G179" s="424" t="s">
        <v>671</v>
      </c>
      <c r="H179" s="424" t="s">
        <v>671</v>
      </c>
      <c r="I179" s="424" t="s">
        <v>671</v>
      </c>
      <c r="J179" s="424" t="s">
        <v>671</v>
      </c>
      <c r="K179" s="424" t="s">
        <v>671</v>
      </c>
      <c r="M179" s="314"/>
    </row>
    <row r="180" spans="2:14">
      <c r="C180" s="277" t="s">
        <v>282</v>
      </c>
      <c r="D180" s="255"/>
      <c r="E180" s="255"/>
      <c r="G180" s="424" t="s">
        <v>671</v>
      </c>
      <c r="H180" s="424" t="s">
        <v>671</v>
      </c>
      <c r="I180" s="424" t="s">
        <v>671</v>
      </c>
      <c r="J180" s="424" t="s">
        <v>671</v>
      </c>
      <c r="K180" s="424" t="s">
        <v>671</v>
      </c>
      <c r="M180" s="314"/>
    </row>
    <row r="181" spans="2:14">
      <c r="C181" s="277" t="s">
        <v>283</v>
      </c>
      <c r="D181" s="255"/>
      <c r="E181" s="255"/>
      <c r="G181" s="424" t="s">
        <v>671</v>
      </c>
      <c r="H181" s="424" t="s">
        <v>671</v>
      </c>
      <c r="I181" s="424" t="s">
        <v>671</v>
      </c>
      <c r="J181" s="424" t="s">
        <v>671</v>
      </c>
      <c r="K181" s="424" t="s">
        <v>671</v>
      </c>
      <c r="M181" s="314"/>
    </row>
    <row r="182" spans="2:14">
      <c r="C182" s="277" t="s">
        <v>284</v>
      </c>
      <c r="D182" s="255"/>
      <c r="E182" s="255"/>
      <c r="G182" s="424" t="s">
        <v>671</v>
      </c>
      <c r="H182" s="424" t="s">
        <v>671</v>
      </c>
      <c r="I182" s="424" t="s">
        <v>671</v>
      </c>
      <c r="J182" s="424" t="s">
        <v>671</v>
      </c>
      <c r="K182" s="424" t="s">
        <v>671</v>
      </c>
      <c r="M182" s="314"/>
    </row>
    <row r="183" spans="2:14">
      <c r="C183" s="277" t="s">
        <v>285</v>
      </c>
      <c r="D183" s="255"/>
      <c r="E183" s="255"/>
      <c r="G183" s="424" t="s">
        <v>671</v>
      </c>
      <c r="H183" s="424" t="s">
        <v>671</v>
      </c>
      <c r="I183" s="424" t="s">
        <v>671</v>
      </c>
      <c r="J183" s="424" t="s">
        <v>671</v>
      </c>
      <c r="K183" s="424" t="s">
        <v>671</v>
      </c>
      <c r="M183" s="314"/>
    </row>
    <row r="184" spans="2:14">
      <c r="C184" s="277" t="s">
        <v>286</v>
      </c>
      <c r="D184" s="255"/>
      <c r="E184" s="255"/>
      <c r="G184" s="424" t="s">
        <v>671</v>
      </c>
      <c r="H184" s="424" t="s">
        <v>671</v>
      </c>
      <c r="I184" s="424" t="s">
        <v>671</v>
      </c>
      <c r="J184" s="424" t="s">
        <v>671</v>
      </c>
      <c r="K184" s="424" t="s">
        <v>671</v>
      </c>
      <c r="M184" s="314"/>
    </row>
    <row r="185" spans="2:14">
      <c r="C185" s="277" t="s">
        <v>287</v>
      </c>
      <c r="D185" s="255"/>
      <c r="E185" s="255"/>
      <c r="G185" s="221"/>
      <c r="H185" s="221"/>
      <c r="I185" s="221"/>
      <c r="J185" s="221"/>
      <c r="K185" s="221"/>
      <c r="M185" s="314"/>
    </row>
    <row r="186" spans="2:14">
      <c r="C186" s="277" t="s">
        <v>288</v>
      </c>
      <c r="D186" s="255"/>
      <c r="E186" s="255"/>
      <c r="G186" s="424" t="s">
        <v>671</v>
      </c>
      <c r="H186" s="424" t="s">
        <v>671</v>
      </c>
      <c r="I186" s="424" t="s">
        <v>671</v>
      </c>
      <c r="J186" s="424" t="s">
        <v>671</v>
      </c>
      <c r="K186" s="424" t="s">
        <v>671</v>
      </c>
      <c r="M186" s="314"/>
    </row>
    <row r="187" spans="2:14">
      <c r="C187" s="255"/>
      <c r="D187" s="255"/>
      <c r="E187" s="255"/>
      <c r="G187" s="221"/>
      <c r="H187" s="221"/>
      <c r="I187" s="221"/>
      <c r="J187" s="221"/>
      <c r="K187" s="221"/>
      <c r="M187" s="314"/>
    </row>
    <row r="188" spans="2:14">
      <c r="C188" s="277" t="s">
        <v>227</v>
      </c>
      <c r="D188" s="255"/>
      <c r="E188" s="255"/>
      <c r="G188" s="424" t="s">
        <v>671</v>
      </c>
      <c r="H188" s="424" t="s">
        <v>671</v>
      </c>
      <c r="I188" s="424" t="s">
        <v>671</v>
      </c>
      <c r="J188" s="424" t="s">
        <v>671</v>
      </c>
      <c r="K188" s="424" t="s">
        <v>671</v>
      </c>
      <c r="M188" s="314"/>
    </row>
    <row r="189" spans="2:14">
      <c r="C189" s="255"/>
      <c r="D189" s="255"/>
      <c r="E189" s="255"/>
      <c r="G189" s="251"/>
      <c r="I189" s="251"/>
      <c r="J189" s="251"/>
      <c r="K189" s="251"/>
    </row>
    <row r="190" spans="2:14">
      <c r="C190" s="277" t="s">
        <v>36</v>
      </c>
      <c r="D190" s="255"/>
      <c r="E190" s="255"/>
      <c r="G190" s="424" t="s">
        <v>671</v>
      </c>
      <c r="H190" s="424" t="s">
        <v>671</v>
      </c>
      <c r="I190" s="424" t="s">
        <v>671</v>
      </c>
      <c r="J190" s="424" t="s">
        <v>671</v>
      </c>
      <c r="K190" s="424" t="s">
        <v>671</v>
      </c>
      <c r="M190" s="314"/>
    </row>
    <row r="191" spans="2:14">
      <c r="I191" s="255"/>
    </row>
    <row r="192" spans="2:14">
      <c r="B192" s="257" t="s">
        <v>307</v>
      </c>
      <c r="C192" s="255"/>
      <c r="D192" s="255"/>
      <c r="E192" s="255"/>
      <c r="G192" s="424" t="s">
        <v>671</v>
      </c>
      <c r="H192" s="424" t="s">
        <v>671</v>
      </c>
      <c r="I192" s="424" t="s">
        <v>671</v>
      </c>
      <c r="J192" s="424" t="s">
        <v>671</v>
      </c>
      <c r="K192" s="424" t="s">
        <v>671</v>
      </c>
      <c r="L192" s="259"/>
      <c r="M192" s="252"/>
      <c r="N192" s="220" t="s">
        <v>455</v>
      </c>
    </row>
    <row r="193" spans="2:14">
      <c r="I193" s="255"/>
    </row>
    <row r="194" spans="2:14">
      <c r="B194" s="255"/>
      <c r="C194" s="277" t="s">
        <v>358</v>
      </c>
      <c r="D194" s="255"/>
      <c r="E194" s="255"/>
      <c r="G194" s="424" t="s">
        <v>671</v>
      </c>
      <c r="H194" s="424" t="s">
        <v>671</v>
      </c>
      <c r="I194" s="424" t="s">
        <v>671</v>
      </c>
      <c r="J194" s="424" t="s">
        <v>671</v>
      </c>
      <c r="K194" s="424" t="s">
        <v>671</v>
      </c>
      <c r="N194" s="424" t="s">
        <v>671</v>
      </c>
    </row>
    <row r="195" spans="2:14">
      <c r="B195" s="255"/>
      <c r="C195" s="277" t="s">
        <v>359</v>
      </c>
      <c r="D195" s="255"/>
      <c r="E195" s="255"/>
      <c r="G195" s="424" t="s">
        <v>671</v>
      </c>
      <c r="H195" s="424" t="s">
        <v>671</v>
      </c>
      <c r="I195" s="424" t="s">
        <v>671</v>
      </c>
      <c r="J195" s="424" t="s">
        <v>671</v>
      </c>
      <c r="K195" s="424" t="s">
        <v>671</v>
      </c>
      <c r="N195" s="424" t="s">
        <v>671</v>
      </c>
    </row>
    <row r="196" spans="2:14">
      <c r="J196" s="255"/>
    </row>
    <row r="197" spans="2:14">
      <c r="B197" s="257" t="s">
        <v>319</v>
      </c>
      <c r="C197" s="255"/>
      <c r="D197" s="255"/>
      <c r="E197" s="255"/>
      <c r="G197" s="424" t="s">
        <v>671</v>
      </c>
      <c r="H197" s="424" t="s">
        <v>671</v>
      </c>
      <c r="I197" s="424" t="s">
        <v>671</v>
      </c>
      <c r="J197" s="424" t="s">
        <v>671</v>
      </c>
      <c r="K197" s="424" t="s">
        <v>671</v>
      </c>
      <c r="L197" s="259"/>
      <c r="M197" s="252"/>
      <c r="N197" s="220" t="s">
        <v>455</v>
      </c>
    </row>
    <row r="198" spans="2:14">
      <c r="I198" s="255"/>
      <c r="K198" s="255"/>
    </row>
    <row r="199" spans="2:14">
      <c r="B199" s="255"/>
      <c r="C199" s="277" t="s">
        <v>264</v>
      </c>
      <c r="D199" s="255"/>
      <c r="E199" s="255"/>
      <c r="G199" s="424" t="s">
        <v>671</v>
      </c>
      <c r="H199" s="424" t="s">
        <v>671</v>
      </c>
      <c r="I199" s="424" t="s">
        <v>671</v>
      </c>
      <c r="J199" s="424" t="s">
        <v>671</v>
      </c>
      <c r="K199" s="424" t="s">
        <v>671</v>
      </c>
      <c r="M199" s="314"/>
    </row>
    <row r="200" spans="2:14">
      <c r="B200" s="255"/>
      <c r="C200" s="277" t="s">
        <v>265</v>
      </c>
      <c r="D200" s="255"/>
      <c r="E200" s="255"/>
      <c r="G200" s="424" t="s">
        <v>671</v>
      </c>
      <c r="H200" s="424" t="s">
        <v>671</v>
      </c>
      <c r="I200" s="424" t="s">
        <v>671</v>
      </c>
      <c r="J200" s="424" t="s">
        <v>671</v>
      </c>
      <c r="K200" s="424" t="s">
        <v>671</v>
      </c>
      <c r="M200" s="314"/>
    </row>
    <row r="201" spans="2:14">
      <c r="B201" s="255"/>
      <c r="C201" s="277" t="s">
        <v>266</v>
      </c>
      <c r="D201" s="255"/>
      <c r="E201" s="255"/>
      <c r="G201" s="424" t="s">
        <v>671</v>
      </c>
      <c r="H201" s="424" t="s">
        <v>671</v>
      </c>
      <c r="I201" s="424" t="s">
        <v>671</v>
      </c>
      <c r="J201" s="424" t="s">
        <v>671</v>
      </c>
      <c r="K201" s="424" t="s">
        <v>671</v>
      </c>
      <c r="M201" s="314"/>
    </row>
    <row r="202" spans="2:14">
      <c r="B202" s="255"/>
      <c r="C202" s="277" t="s">
        <v>267</v>
      </c>
      <c r="D202" s="255"/>
      <c r="E202" s="255"/>
      <c r="G202" s="424" t="s">
        <v>671</v>
      </c>
      <c r="H202" s="424" t="s">
        <v>671</v>
      </c>
      <c r="I202" s="424" t="s">
        <v>671</v>
      </c>
      <c r="J202" s="424" t="s">
        <v>671</v>
      </c>
      <c r="K202" s="424" t="s">
        <v>671</v>
      </c>
      <c r="M202" s="314"/>
    </row>
    <row r="203" spans="2:14">
      <c r="B203" s="255"/>
      <c r="C203" s="277" t="s">
        <v>268</v>
      </c>
      <c r="D203" s="255"/>
      <c r="E203" s="255"/>
      <c r="G203" s="424" t="s">
        <v>671</v>
      </c>
      <c r="H203" s="424" t="s">
        <v>671</v>
      </c>
      <c r="I203" s="424" t="s">
        <v>671</v>
      </c>
      <c r="J203" s="424" t="s">
        <v>671</v>
      </c>
      <c r="K203" s="424" t="s">
        <v>671</v>
      </c>
      <c r="M203" s="314"/>
    </row>
    <row r="204" spans="2:14">
      <c r="B204" s="255"/>
      <c r="C204" s="277" t="s">
        <v>269</v>
      </c>
      <c r="D204" s="255"/>
      <c r="E204" s="255"/>
      <c r="G204" s="424" t="s">
        <v>671</v>
      </c>
      <c r="H204" s="424" t="s">
        <v>671</v>
      </c>
      <c r="I204" s="424" t="s">
        <v>671</v>
      </c>
      <c r="J204" s="424" t="s">
        <v>671</v>
      </c>
      <c r="K204" s="424" t="s">
        <v>671</v>
      </c>
      <c r="M204" s="314"/>
    </row>
    <row r="205" spans="2:14">
      <c r="B205" s="255"/>
      <c r="C205" s="277" t="s">
        <v>270</v>
      </c>
      <c r="D205" s="255"/>
      <c r="E205" s="255"/>
      <c r="G205" s="424" t="s">
        <v>671</v>
      </c>
      <c r="H205" s="424" t="s">
        <v>671</v>
      </c>
      <c r="I205" s="424" t="s">
        <v>671</v>
      </c>
      <c r="J205" s="424" t="s">
        <v>671</v>
      </c>
      <c r="K205" s="424" t="s">
        <v>671</v>
      </c>
      <c r="M205" s="314"/>
    </row>
    <row r="206" spans="2:14">
      <c r="B206" s="255"/>
      <c r="C206" s="277" t="s">
        <v>30</v>
      </c>
      <c r="D206" s="255"/>
      <c r="E206" s="255"/>
      <c r="G206" s="424" t="s">
        <v>671</v>
      </c>
      <c r="H206" s="424" t="s">
        <v>671</v>
      </c>
      <c r="I206" s="424" t="s">
        <v>671</v>
      </c>
      <c r="J206" s="424" t="s">
        <v>671</v>
      </c>
      <c r="K206" s="424" t="s">
        <v>671</v>
      </c>
      <c r="M206" s="314"/>
    </row>
    <row r="207" spans="2:14">
      <c r="B207" s="255"/>
      <c r="C207" s="277" t="s">
        <v>271</v>
      </c>
      <c r="D207" s="255"/>
      <c r="E207" s="255"/>
      <c r="G207" s="424" t="s">
        <v>671</v>
      </c>
      <c r="H207" s="424" t="s">
        <v>671</v>
      </c>
      <c r="I207" s="424" t="s">
        <v>671</v>
      </c>
      <c r="J207" s="424" t="s">
        <v>671</v>
      </c>
      <c r="K207" s="424" t="s">
        <v>671</v>
      </c>
      <c r="M207" s="314"/>
    </row>
    <row r="208" spans="2:14">
      <c r="B208" s="255"/>
      <c r="C208" s="277" t="s">
        <v>272</v>
      </c>
      <c r="D208" s="255"/>
      <c r="E208" s="255"/>
      <c r="G208" s="424" t="s">
        <v>671</v>
      </c>
      <c r="H208" s="424" t="s">
        <v>671</v>
      </c>
      <c r="I208" s="424" t="s">
        <v>671</v>
      </c>
      <c r="J208" s="424" t="s">
        <v>671</v>
      </c>
      <c r="K208" s="424" t="s">
        <v>671</v>
      </c>
      <c r="M208" s="314"/>
    </row>
    <row r="209" spans="2:14">
      <c r="B209" s="255"/>
      <c r="C209" s="277" t="s">
        <v>273</v>
      </c>
      <c r="D209" s="255"/>
      <c r="E209" s="255"/>
      <c r="G209" s="424" t="s">
        <v>671</v>
      </c>
      <c r="H209" s="424" t="s">
        <v>671</v>
      </c>
      <c r="I209" s="424" t="s">
        <v>671</v>
      </c>
      <c r="J209" s="424" t="s">
        <v>671</v>
      </c>
      <c r="K209" s="424" t="s">
        <v>671</v>
      </c>
      <c r="M209" s="314"/>
    </row>
    <row r="210" spans="2:14">
      <c r="B210" s="255"/>
      <c r="C210" s="255"/>
      <c r="D210" s="255"/>
      <c r="E210" s="255"/>
      <c r="G210" s="221"/>
      <c r="H210" s="221"/>
      <c r="I210" s="221"/>
      <c r="J210" s="221"/>
      <c r="K210" s="221"/>
      <c r="M210" s="314"/>
    </row>
    <row r="211" spans="2:14">
      <c r="B211" s="255"/>
      <c r="C211" s="277" t="s">
        <v>227</v>
      </c>
      <c r="D211" s="255"/>
      <c r="E211" s="255"/>
      <c r="G211" s="424" t="s">
        <v>671</v>
      </c>
      <c r="H211" s="424" t="s">
        <v>671</v>
      </c>
      <c r="I211" s="424" t="s">
        <v>671</v>
      </c>
      <c r="J211" s="424" t="s">
        <v>671</v>
      </c>
      <c r="K211" s="424" t="s">
        <v>671</v>
      </c>
      <c r="M211" s="314"/>
    </row>
    <row r="212" spans="2:14">
      <c r="B212" s="255"/>
      <c r="C212" s="255"/>
      <c r="D212" s="255"/>
      <c r="E212" s="255"/>
      <c r="G212" s="221"/>
      <c r="H212" s="221"/>
      <c r="I212" s="221"/>
      <c r="J212" s="221"/>
      <c r="K212" s="221"/>
      <c r="M212" s="314"/>
    </row>
    <row r="213" spans="2:14">
      <c r="B213" s="255"/>
      <c r="C213" s="277" t="s">
        <v>36</v>
      </c>
      <c r="D213" s="255"/>
      <c r="E213" s="255"/>
      <c r="G213" s="424" t="s">
        <v>671</v>
      </c>
      <c r="H213" s="424" t="s">
        <v>671</v>
      </c>
      <c r="I213" s="424" t="s">
        <v>671</v>
      </c>
      <c r="J213" s="424" t="s">
        <v>671</v>
      </c>
      <c r="K213" s="424" t="s">
        <v>671</v>
      </c>
      <c r="M213" s="315"/>
    </row>
    <row r="214" spans="2:14">
      <c r="I214" s="255"/>
      <c r="K214" s="255"/>
    </row>
    <row r="215" spans="2:14">
      <c r="B215" s="257" t="s">
        <v>320</v>
      </c>
      <c r="C215" s="255"/>
      <c r="D215" s="255"/>
      <c r="E215" s="255"/>
      <c r="G215" s="424" t="s">
        <v>671</v>
      </c>
      <c r="H215" s="424" t="s">
        <v>671</v>
      </c>
      <c r="I215" s="424" t="s">
        <v>671</v>
      </c>
      <c r="J215" s="424" t="s">
        <v>671</v>
      </c>
      <c r="K215" s="424" t="s">
        <v>671</v>
      </c>
      <c r="L215" s="259"/>
      <c r="M215" s="252"/>
      <c r="N215" s="220" t="s">
        <v>455</v>
      </c>
    </row>
    <row r="216" spans="2:14">
      <c r="B216" s="257"/>
      <c r="C216" s="255"/>
      <c r="D216" s="255"/>
      <c r="E216" s="255"/>
      <c r="G216" s="255"/>
      <c r="I216" s="255"/>
      <c r="J216" s="255"/>
      <c r="K216" s="255"/>
    </row>
    <row r="217" spans="2:14">
      <c r="B217" s="255"/>
      <c r="C217" s="277" t="s">
        <v>264</v>
      </c>
      <c r="D217" s="255"/>
      <c r="E217" s="255"/>
      <c r="G217" s="424" t="s">
        <v>671</v>
      </c>
      <c r="H217" s="424" t="s">
        <v>671</v>
      </c>
      <c r="I217" s="424" t="s">
        <v>671</v>
      </c>
      <c r="J217" s="424" t="s">
        <v>671</v>
      </c>
      <c r="K217" s="424" t="s">
        <v>671</v>
      </c>
      <c r="M217" s="314"/>
    </row>
    <row r="218" spans="2:14">
      <c r="B218" s="255"/>
      <c r="C218" s="277" t="s">
        <v>265</v>
      </c>
      <c r="D218" s="255"/>
      <c r="E218" s="255"/>
      <c r="G218" s="424" t="s">
        <v>671</v>
      </c>
      <c r="H218" s="424" t="s">
        <v>671</v>
      </c>
      <c r="I218" s="424" t="s">
        <v>671</v>
      </c>
      <c r="J218" s="424" t="s">
        <v>671</v>
      </c>
      <c r="K218" s="424" t="s">
        <v>671</v>
      </c>
      <c r="M218" s="314"/>
    </row>
    <row r="219" spans="2:14">
      <c r="B219" s="255"/>
      <c r="C219" s="277" t="s">
        <v>266</v>
      </c>
      <c r="D219" s="255"/>
      <c r="E219" s="255"/>
      <c r="G219" s="424" t="s">
        <v>671</v>
      </c>
      <c r="H219" s="424" t="s">
        <v>671</v>
      </c>
      <c r="I219" s="424" t="s">
        <v>671</v>
      </c>
      <c r="J219" s="424" t="s">
        <v>671</v>
      </c>
      <c r="K219" s="424" t="s">
        <v>671</v>
      </c>
      <c r="M219" s="314"/>
    </row>
    <row r="220" spans="2:14">
      <c r="B220" s="255"/>
      <c r="C220" s="277" t="s">
        <v>267</v>
      </c>
      <c r="D220" s="255"/>
      <c r="E220" s="255"/>
      <c r="G220" s="424" t="s">
        <v>671</v>
      </c>
      <c r="H220" s="424" t="s">
        <v>671</v>
      </c>
      <c r="I220" s="424" t="s">
        <v>671</v>
      </c>
      <c r="J220" s="424" t="s">
        <v>671</v>
      </c>
      <c r="K220" s="424" t="s">
        <v>671</v>
      </c>
      <c r="M220" s="314"/>
    </row>
    <row r="221" spans="2:14">
      <c r="B221" s="255"/>
      <c r="C221" s="277" t="s">
        <v>268</v>
      </c>
      <c r="D221" s="255"/>
      <c r="E221" s="255"/>
      <c r="G221" s="424" t="s">
        <v>671</v>
      </c>
      <c r="H221" s="424" t="s">
        <v>671</v>
      </c>
      <c r="I221" s="424" t="s">
        <v>671</v>
      </c>
      <c r="J221" s="424" t="s">
        <v>671</v>
      </c>
      <c r="K221" s="424" t="s">
        <v>671</v>
      </c>
      <c r="M221" s="314"/>
    </row>
    <row r="222" spans="2:14">
      <c r="B222" s="255"/>
      <c r="C222" s="277" t="s">
        <v>269</v>
      </c>
      <c r="D222" s="255"/>
      <c r="E222" s="255"/>
      <c r="G222" s="424" t="s">
        <v>671</v>
      </c>
      <c r="H222" s="424" t="s">
        <v>671</v>
      </c>
      <c r="I222" s="424" t="s">
        <v>671</v>
      </c>
      <c r="J222" s="424" t="s">
        <v>671</v>
      </c>
      <c r="K222" s="424" t="s">
        <v>671</v>
      </c>
      <c r="M222" s="314"/>
    </row>
    <row r="223" spans="2:14">
      <c r="B223" s="255"/>
      <c r="C223" s="277" t="s">
        <v>270</v>
      </c>
      <c r="D223" s="255"/>
      <c r="E223" s="255"/>
      <c r="G223" s="424" t="s">
        <v>671</v>
      </c>
      <c r="H223" s="424" t="s">
        <v>671</v>
      </c>
      <c r="I223" s="424" t="s">
        <v>671</v>
      </c>
      <c r="J223" s="424" t="s">
        <v>671</v>
      </c>
      <c r="K223" s="424" t="s">
        <v>671</v>
      </c>
      <c r="M223" s="314"/>
    </row>
    <row r="224" spans="2:14">
      <c r="B224" s="255"/>
      <c r="C224" s="277" t="s">
        <v>30</v>
      </c>
      <c r="D224" s="255"/>
      <c r="E224" s="255"/>
      <c r="G224" s="424" t="s">
        <v>671</v>
      </c>
      <c r="H224" s="424" t="s">
        <v>671</v>
      </c>
      <c r="I224" s="424" t="s">
        <v>671</v>
      </c>
      <c r="J224" s="424" t="s">
        <v>671</v>
      </c>
      <c r="K224" s="424" t="s">
        <v>671</v>
      </c>
      <c r="M224" s="314"/>
    </row>
    <row r="225" spans="2:14">
      <c r="B225" s="255"/>
      <c r="C225" s="277" t="s">
        <v>271</v>
      </c>
      <c r="D225" s="255"/>
      <c r="E225" s="255"/>
      <c r="G225" s="424" t="s">
        <v>671</v>
      </c>
      <c r="H225" s="424" t="s">
        <v>671</v>
      </c>
      <c r="I225" s="424" t="s">
        <v>671</v>
      </c>
      <c r="J225" s="424" t="s">
        <v>671</v>
      </c>
      <c r="K225" s="424" t="s">
        <v>671</v>
      </c>
      <c r="M225" s="314"/>
    </row>
    <row r="226" spans="2:14">
      <c r="B226" s="255"/>
      <c r="C226" s="277" t="s">
        <v>272</v>
      </c>
      <c r="D226" s="255"/>
      <c r="E226" s="255"/>
      <c r="G226" s="424" t="s">
        <v>671</v>
      </c>
      <c r="H226" s="424" t="s">
        <v>671</v>
      </c>
      <c r="I226" s="424" t="s">
        <v>671</v>
      </c>
      <c r="J226" s="424" t="s">
        <v>671</v>
      </c>
      <c r="K226" s="424" t="s">
        <v>671</v>
      </c>
      <c r="M226" s="314"/>
    </row>
    <row r="227" spans="2:14">
      <c r="B227" s="255"/>
      <c r="C227" s="277" t="s">
        <v>273</v>
      </c>
      <c r="D227" s="255"/>
      <c r="E227" s="255"/>
      <c r="G227" s="424" t="s">
        <v>671</v>
      </c>
      <c r="H227" s="424" t="s">
        <v>671</v>
      </c>
      <c r="I227" s="424" t="s">
        <v>671</v>
      </c>
      <c r="J227" s="424" t="s">
        <v>671</v>
      </c>
      <c r="K227" s="424" t="s">
        <v>671</v>
      </c>
      <c r="M227" s="314"/>
    </row>
    <row r="228" spans="2:14">
      <c r="B228" s="255"/>
      <c r="C228" s="255"/>
      <c r="D228" s="255"/>
      <c r="E228" s="255"/>
      <c r="G228" s="221"/>
      <c r="H228" s="221"/>
      <c r="I228" s="221"/>
      <c r="J228" s="221"/>
      <c r="K228" s="221"/>
      <c r="M228" s="314"/>
    </row>
    <row r="229" spans="2:14">
      <c r="B229" s="255"/>
      <c r="C229" s="277" t="s">
        <v>227</v>
      </c>
      <c r="D229" s="255"/>
      <c r="E229" s="255"/>
      <c r="G229" s="424" t="s">
        <v>671</v>
      </c>
      <c r="H229" s="424" t="s">
        <v>671</v>
      </c>
      <c r="I229" s="424" t="s">
        <v>671</v>
      </c>
      <c r="J229" s="424" t="s">
        <v>671</v>
      </c>
      <c r="K229" s="424" t="s">
        <v>671</v>
      </c>
      <c r="M229" s="314"/>
    </row>
    <row r="230" spans="2:14">
      <c r="B230" s="255"/>
      <c r="C230" s="255"/>
      <c r="D230" s="255"/>
      <c r="E230" s="255"/>
      <c r="G230" s="221"/>
      <c r="H230" s="221"/>
      <c r="I230" s="221"/>
      <c r="J230" s="221"/>
      <c r="K230" s="221"/>
      <c r="M230" s="314"/>
    </row>
    <row r="231" spans="2:14">
      <c r="B231" s="255"/>
      <c r="C231" s="277" t="s">
        <v>36</v>
      </c>
      <c r="D231" s="255"/>
      <c r="E231" s="255"/>
      <c r="G231" s="424" t="s">
        <v>671</v>
      </c>
      <c r="H231" s="424" t="s">
        <v>671</v>
      </c>
      <c r="I231" s="424" t="s">
        <v>671</v>
      </c>
      <c r="J231" s="424" t="s">
        <v>671</v>
      </c>
      <c r="K231" s="424" t="s">
        <v>671</v>
      </c>
      <c r="M231" s="314"/>
    </row>
    <row r="232" spans="2:14">
      <c r="I232" s="255"/>
      <c r="K232" s="255"/>
    </row>
    <row r="233" spans="2:14">
      <c r="B233" s="257" t="s">
        <v>321</v>
      </c>
      <c r="C233" s="255"/>
      <c r="D233" s="255"/>
      <c r="E233" s="255"/>
      <c r="G233" s="424" t="s">
        <v>671</v>
      </c>
      <c r="H233" s="424" t="s">
        <v>671</v>
      </c>
      <c r="I233" s="424" t="s">
        <v>671</v>
      </c>
      <c r="J233" s="424" t="s">
        <v>671</v>
      </c>
      <c r="K233" s="424" t="s">
        <v>671</v>
      </c>
      <c r="L233" s="259"/>
      <c r="M233" s="252"/>
      <c r="N233" s="220" t="s">
        <v>455</v>
      </c>
    </row>
    <row r="234" spans="2:14">
      <c r="I234" s="255"/>
      <c r="K234" s="255"/>
    </row>
    <row r="235" spans="2:14">
      <c r="B235" s="255"/>
      <c r="C235" s="277" t="s">
        <v>276</v>
      </c>
      <c r="D235" s="255"/>
      <c r="E235" s="255"/>
      <c r="G235" s="424" t="s">
        <v>671</v>
      </c>
      <c r="H235" s="424" t="s">
        <v>671</v>
      </c>
      <c r="I235" s="424" t="s">
        <v>671</v>
      </c>
      <c r="J235" s="424" t="s">
        <v>671</v>
      </c>
      <c r="K235" s="424" t="s">
        <v>671</v>
      </c>
      <c r="M235" s="314"/>
    </row>
    <row r="236" spans="2:14">
      <c r="B236" s="255"/>
      <c r="C236" s="277" t="s">
        <v>277</v>
      </c>
      <c r="D236" s="255"/>
      <c r="E236" s="255"/>
      <c r="G236" s="424" t="s">
        <v>671</v>
      </c>
      <c r="H236" s="424" t="s">
        <v>671</v>
      </c>
      <c r="I236" s="424" t="s">
        <v>671</v>
      </c>
      <c r="J236" s="424" t="s">
        <v>671</v>
      </c>
      <c r="K236" s="424" t="s">
        <v>671</v>
      </c>
      <c r="M236" s="314"/>
    </row>
    <row r="237" spans="2:14">
      <c r="B237" s="255"/>
      <c r="C237" s="277" t="s">
        <v>278</v>
      </c>
      <c r="D237" s="255"/>
      <c r="E237" s="255"/>
      <c r="G237" s="424" t="s">
        <v>671</v>
      </c>
      <c r="H237" s="424" t="s">
        <v>671</v>
      </c>
      <c r="I237" s="424" t="s">
        <v>671</v>
      </c>
      <c r="J237" s="424" t="s">
        <v>671</v>
      </c>
      <c r="K237" s="424" t="s">
        <v>671</v>
      </c>
      <c r="M237" s="314"/>
    </row>
    <row r="238" spans="2:14">
      <c r="B238" s="255"/>
      <c r="C238" s="277" t="s">
        <v>279</v>
      </c>
      <c r="D238" s="255"/>
      <c r="E238" s="255"/>
      <c r="G238" s="424" t="s">
        <v>671</v>
      </c>
      <c r="H238" s="424" t="s">
        <v>671</v>
      </c>
      <c r="I238" s="424" t="s">
        <v>671</v>
      </c>
      <c r="J238" s="424" t="s">
        <v>671</v>
      </c>
      <c r="K238" s="424" t="s">
        <v>671</v>
      </c>
      <c r="M238" s="314"/>
    </row>
    <row r="239" spans="2:14">
      <c r="B239" s="255"/>
      <c r="C239" s="277" t="s">
        <v>280</v>
      </c>
      <c r="D239" s="255"/>
      <c r="E239" s="255"/>
      <c r="G239" s="424" t="s">
        <v>671</v>
      </c>
      <c r="H239" s="424" t="s">
        <v>671</v>
      </c>
      <c r="I239" s="424" t="s">
        <v>671</v>
      </c>
      <c r="J239" s="424" t="s">
        <v>671</v>
      </c>
      <c r="K239" s="424" t="s">
        <v>671</v>
      </c>
      <c r="M239" s="314"/>
    </row>
    <row r="240" spans="2:14">
      <c r="B240" s="255"/>
      <c r="C240" s="277" t="s">
        <v>281</v>
      </c>
      <c r="D240" s="255"/>
      <c r="E240" s="255"/>
      <c r="G240" s="424" t="s">
        <v>671</v>
      </c>
      <c r="H240" s="424" t="s">
        <v>671</v>
      </c>
      <c r="I240" s="424" t="s">
        <v>671</v>
      </c>
      <c r="J240" s="424" t="s">
        <v>671</v>
      </c>
      <c r="K240" s="424" t="s">
        <v>671</v>
      </c>
      <c r="M240" s="314"/>
    </row>
    <row r="241" spans="2:17">
      <c r="B241" s="255"/>
      <c r="C241" s="277" t="s">
        <v>282</v>
      </c>
      <c r="D241" s="255"/>
      <c r="E241" s="255"/>
      <c r="G241" s="424" t="s">
        <v>671</v>
      </c>
      <c r="H241" s="424" t="s">
        <v>671</v>
      </c>
      <c r="I241" s="424" t="s">
        <v>671</v>
      </c>
      <c r="J241" s="424" t="s">
        <v>671</v>
      </c>
      <c r="K241" s="424" t="s">
        <v>671</v>
      </c>
      <c r="M241" s="314"/>
    </row>
    <row r="242" spans="2:17">
      <c r="B242" s="255"/>
      <c r="C242" s="277" t="s">
        <v>283</v>
      </c>
      <c r="D242" s="255"/>
      <c r="E242" s="255"/>
      <c r="G242" s="424" t="s">
        <v>671</v>
      </c>
      <c r="H242" s="424" t="s">
        <v>671</v>
      </c>
      <c r="I242" s="424" t="s">
        <v>671</v>
      </c>
      <c r="J242" s="424" t="s">
        <v>671</v>
      </c>
      <c r="K242" s="424" t="s">
        <v>671</v>
      </c>
      <c r="M242" s="314"/>
    </row>
    <row r="243" spans="2:17">
      <c r="B243" s="255"/>
      <c r="C243" s="277" t="s">
        <v>284</v>
      </c>
      <c r="D243" s="255"/>
      <c r="E243" s="255"/>
      <c r="G243" s="424" t="s">
        <v>671</v>
      </c>
      <c r="H243" s="424" t="s">
        <v>671</v>
      </c>
      <c r="I243" s="424" t="s">
        <v>671</v>
      </c>
      <c r="J243" s="424" t="s">
        <v>671</v>
      </c>
      <c r="K243" s="424" t="s">
        <v>671</v>
      </c>
      <c r="M243" s="314"/>
    </row>
    <row r="244" spans="2:17">
      <c r="B244" s="255"/>
      <c r="C244" s="277" t="s">
        <v>285</v>
      </c>
      <c r="D244" s="255"/>
      <c r="E244" s="255"/>
      <c r="G244" s="424" t="s">
        <v>671</v>
      </c>
      <c r="H244" s="424" t="s">
        <v>671</v>
      </c>
      <c r="I244" s="424" t="s">
        <v>671</v>
      </c>
      <c r="J244" s="424" t="s">
        <v>671</v>
      </c>
      <c r="K244" s="424" t="s">
        <v>671</v>
      </c>
      <c r="M244" s="314"/>
    </row>
    <row r="245" spans="2:17">
      <c r="B245" s="255"/>
      <c r="C245" s="277" t="s">
        <v>286</v>
      </c>
      <c r="D245" s="255"/>
      <c r="E245" s="255"/>
      <c r="G245" s="424" t="s">
        <v>671</v>
      </c>
      <c r="H245" s="424" t="s">
        <v>671</v>
      </c>
      <c r="I245" s="424" t="s">
        <v>671</v>
      </c>
      <c r="J245" s="424" t="s">
        <v>671</v>
      </c>
      <c r="K245" s="424" t="s">
        <v>671</v>
      </c>
      <c r="M245" s="314"/>
    </row>
    <row r="246" spans="2:17">
      <c r="B246" s="255"/>
      <c r="C246" s="277" t="s">
        <v>287</v>
      </c>
      <c r="D246" s="255"/>
      <c r="E246" s="255"/>
      <c r="G246" s="221"/>
      <c r="H246" s="221"/>
      <c r="I246" s="221"/>
      <c r="J246" s="221"/>
      <c r="K246" s="221"/>
      <c r="M246" s="314"/>
    </row>
    <row r="247" spans="2:17">
      <c r="B247" s="255"/>
      <c r="C247" s="277" t="s">
        <v>288</v>
      </c>
      <c r="D247" s="255"/>
      <c r="E247" s="255"/>
      <c r="G247" s="424" t="s">
        <v>671</v>
      </c>
      <c r="H247" s="424" t="s">
        <v>671</v>
      </c>
      <c r="I247" s="424" t="s">
        <v>671</v>
      </c>
      <c r="J247" s="424" t="s">
        <v>671</v>
      </c>
      <c r="K247" s="424" t="s">
        <v>671</v>
      </c>
      <c r="M247" s="314"/>
    </row>
    <row r="248" spans="2:17">
      <c r="B248" s="255"/>
      <c r="C248" s="255"/>
      <c r="D248" s="255"/>
      <c r="E248" s="255"/>
      <c r="G248" s="221"/>
      <c r="H248" s="221"/>
      <c r="I248" s="221"/>
      <c r="J248" s="221"/>
      <c r="K248" s="221"/>
      <c r="M248" s="314"/>
    </row>
    <row r="249" spans="2:17">
      <c r="B249" s="255"/>
      <c r="C249" s="277" t="s">
        <v>227</v>
      </c>
      <c r="D249" s="255"/>
      <c r="E249" s="255"/>
      <c r="G249" s="424" t="s">
        <v>671</v>
      </c>
      <c r="H249" s="424" t="s">
        <v>671</v>
      </c>
      <c r="I249" s="424" t="s">
        <v>671</v>
      </c>
      <c r="J249" s="424" t="s">
        <v>671</v>
      </c>
      <c r="K249" s="424" t="s">
        <v>671</v>
      </c>
      <c r="M249" s="314"/>
    </row>
    <row r="250" spans="2:17">
      <c r="B250" s="255"/>
      <c r="C250" s="255"/>
      <c r="D250" s="255"/>
      <c r="E250" s="255"/>
      <c r="G250" s="270"/>
      <c r="I250" s="270"/>
      <c r="J250" s="270"/>
      <c r="K250" s="270"/>
      <c r="O250" s="314"/>
      <c r="P250" s="314"/>
      <c r="Q250" s="314"/>
    </row>
    <row r="251" spans="2:17">
      <c r="B251" s="255"/>
      <c r="C251" s="277" t="s">
        <v>36</v>
      </c>
      <c r="D251" s="255"/>
      <c r="E251" s="255"/>
      <c r="G251" s="424" t="s">
        <v>671</v>
      </c>
      <c r="H251" s="424" t="s">
        <v>671</v>
      </c>
      <c r="I251" s="424" t="s">
        <v>671</v>
      </c>
      <c r="J251" s="424" t="s">
        <v>671</v>
      </c>
      <c r="K251" s="424" t="s">
        <v>671</v>
      </c>
      <c r="L251" s="270"/>
      <c r="M251" s="315"/>
      <c r="O251" s="314"/>
      <c r="P251" s="314"/>
      <c r="Q251" s="314"/>
    </row>
    <row r="252" spans="2:17">
      <c r="I252" s="255"/>
      <c r="K252" s="255"/>
      <c r="O252" s="314"/>
      <c r="P252" s="314"/>
      <c r="Q252" s="314"/>
    </row>
    <row r="253" spans="2:17">
      <c r="B253" s="257" t="s">
        <v>322</v>
      </c>
      <c r="C253" s="255"/>
      <c r="D253" s="255"/>
      <c r="E253" s="255"/>
      <c r="G253" s="424" t="s">
        <v>671</v>
      </c>
      <c r="H253" s="424" t="s">
        <v>671</v>
      </c>
      <c r="I253" s="424" t="s">
        <v>671</v>
      </c>
      <c r="J253" s="424" t="s">
        <v>671</v>
      </c>
      <c r="K253" s="424" t="s">
        <v>671</v>
      </c>
      <c r="L253" s="259"/>
      <c r="M253" s="252"/>
      <c r="N253" s="220"/>
      <c r="O253" s="314"/>
      <c r="P253" s="314"/>
      <c r="Q253" s="314"/>
    </row>
    <row r="254" spans="2:17">
      <c r="I254" s="255"/>
      <c r="K254" s="255"/>
      <c r="O254" s="314"/>
      <c r="P254" s="314"/>
      <c r="Q254" s="314"/>
    </row>
    <row r="255" spans="2:17">
      <c r="B255" s="255"/>
      <c r="C255" s="277" t="s">
        <v>276</v>
      </c>
      <c r="D255" s="255"/>
      <c r="E255" s="255"/>
      <c r="G255" s="424" t="s">
        <v>671</v>
      </c>
      <c r="H255" s="424" t="s">
        <v>671</v>
      </c>
      <c r="I255" s="424" t="s">
        <v>671</v>
      </c>
      <c r="J255" s="424" t="s">
        <v>671</v>
      </c>
      <c r="K255" s="424" t="s">
        <v>671</v>
      </c>
      <c r="M255" s="314"/>
      <c r="O255" s="314"/>
      <c r="P255" s="314"/>
      <c r="Q255" s="314"/>
    </row>
    <row r="256" spans="2:17">
      <c r="C256" s="277" t="s">
        <v>277</v>
      </c>
      <c r="D256" s="255"/>
      <c r="E256" s="255"/>
      <c r="G256" s="424" t="s">
        <v>671</v>
      </c>
      <c r="H256" s="424" t="s">
        <v>671</v>
      </c>
      <c r="I256" s="424" t="s">
        <v>671</v>
      </c>
      <c r="J256" s="424" t="s">
        <v>671</v>
      </c>
      <c r="K256" s="424" t="s">
        <v>671</v>
      </c>
      <c r="M256" s="314"/>
      <c r="O256" s="314"/>
      <c r="P256" s="314"/>
      <c r="Q256" s="314"/>
    </row>
    <row r="257" spans="3:17">
      <c r="C257" s="277" t="s">
        <v>278</v>
      </c>
      <c r="D257" s="255"/>
      <c r="E257" s="255"/>
      <c r="G257" s="424" t="s">
        <v>671</v>
      </c>
      <c r="H257" s="424" t="s">
        <v>671</v>
      </c>
      <c r="I257" s="424" t="s">
        <v>671</v>
      </c>
      <c r="J257" s="424" t="s">
        <v>671</v>
      </c>
      <c r="K257" s="424" t="s">
        <v>671</v>
      </c>
      <c r="M257" s="314"/>
      <c r="O257" s="314"/>
      <c r="P257" s="314"/>
      <c r="Q257" s="314"/>
    </row>
    <row r="258" spans="3:17">
      <c r="C258" s="277" t="s">
        <v>279</v>
      </c>
      <c r="D258" s="255"/>
      <c r="E258" s="255"/>
      <c r="G258" s="424" t="s">
        <v>671</v>
      </c>
      <c r="H258" s="424" t="s">
        <v>671</v>
      </c>
      <c r="I258" s="424" t="s">
        <v>671</v>
      </c>
      <c r="J258" s="424" t="s">
        <v>671</v>
      </c>
      <c r="K258" s="424" t="s">
        <v>671</v>
      </c>
      <c r="M258" s="314"/>
      <c r="O258" s="314"/>
      <c r="P258" s="314"/>
      <c r="Q258" s="314"/>
    </row>
    <row r="259" spans="3:17">
      <c r="C259" s="277" t="s">
        <v>280</v>
      </c>
      <c r="D259" s="255"/>
      <c r="E259" s="255"/>
      <c r="G259" s="424" t="s">
        <v>671</v>
      </c>
      <c r="H259" s="424" t="s">
        <v>671</v>
      </c>
      <c r="I259" s="424" t="s">
        <v>671</v>
      </c>
      <c r="J259" s="424" t="s">
        <v>671</v>
      </c>
      <c r="K259" s="424" t="s">
        <v>671</v>
      </c>
      <c r="M259" s="314"/>
      <c r="O259" s="314"/>
      <c r="P259" s="314"/>
      <c r="Q259" s="314"/>
    </row>
    <row r="260" spans="3:17">
      <c r="C260" s="277" t="s">
        <v>281</v>
      </c>
      <c r="D260" s="255"/>
      <c r="E260" s="255"/>
      <c r="G260" s="424" t="s">
        <v>671</v>
      </c>
      <c r="H260" s="424" t="s">
        <v>671</v>
      </c>
      <c r="I260" s="424" t="s">
        <v>671</v>
      </c>
      <c r="J260" s="424" t="s">
        <v>671</v>
      </c>
      <c r="K260" s="424" t="s">
        <v>671</v>
      </c>
      <c r="M260" s="314"/>
      <c r="O260" s="314"/>
      <c r="P260" s="314"/>
      <c r="Q260" s="314"/>
    </row>
    <row r="261" spans="3:17">
      <c r="C261" s="277" t="s">
        <v>282</v>
      </c>
      <c r="D261" s="255"/>
      <c r="E261" s="255"/>
      <c r="G261" s="424" t="s">
        <v>671</v>
      </c>
      <c r="H261" s="424" t="s">
        <v>671</v>
      </c>
      <c r="I261" s="424" t="s">
        <v>671</v>
      </c>
      <c r="J261" s="424" t="s">
        <v>671</v>
      </c>
      <c r="K261" s="424" t="s">
        <v>671</v>
      </c>
      <c r="M261" s="314"/>
      <c r="O261" s="314"/>
      <c r="P261" s="314"/>
      <c r="Q261" s="314"/>
    </row>
    <row r="262" spans="3:17">
      <c r="C262" s="277" t="s">
        <v>283</v>
      </c>
      <c r="D262" s="255"/>
      <c r="E262" s="255"/>
      <c r="G262" s="424" t="s">
        <v>671</v>
      </c>
      <c r="H262" s="424" t="s">
        <v>671</v>
      </c>
      <c r="I262" s="424" t="s">
        <v>671</v>
      </c>
      <c r="J262" s="424" t="s">
        <v>671</v>
      </c>
      <c r="K262" s="424" t="s">
        <v>671</v>
      </c>
      <c r="M262" s="314"/>
      <c r="O262" s="314"/>
      <c r="P262" s="314"/>
      <c r="Q262" s="314"/>
    </row>
    <row r="263" spans="3:17">
      <c r="C263" s="277" t="s">
        <v>284</v>
      </c>
      <c r="D263" s="255"/>
      <c r="E263" s="255"/>
      <c r="G263" s="424" t="s">
        <v>671</v>
      </c>
      <c r="H263" s="424" t="s">
        <v>671</v>
      </c>
      <c r="I263" s="424" t="s">
        <v>671</v>
      </c>
      <c r="J263" s="424" t="s">
        <v>671</v>
      </c>
      <c r="K263" s="424" t="s">
        <v>671</v>
      </c>
      <c r="M263" s="314"/>
      <c r="O263" s="314"/>
      <c r="P263" s="314"/>
      <c r="Q263" s="314"/>
    </row>
    <row r="264" spans="3:17">
      <c r="C264" s="277" t="s">
        <v>285</v>
      </c>
      <c r="D264" s="255"/>
      <c r="E264" s="255"/>
      <c r="G264" s="424" t="s">
        <v>671</v>
      </c>
      <c r="H264" s="424" t="s">
        <v>671</v>
      </c>
      <c r="I264" s="424" t="s">
        <v>671</v>
      </c>
      <c r="J264" s="424" t="s">
        <v>671</v>
      </c>
      <c r="K264" s="424" t="s">
        <v>671</v>
      </c>
      <c r="M264" s="314"/>
      <c r="O264" s="314"/>
      <c r="P264" s="314"/>
      <c r="Q264" s="314"/>
    </row>
    <row r="265" spans="3:17">
      <c r="C265" s="277" t="s">
        <v>286</v>
      </c>
      <c r="D265" s="255"/>
      <c r="E265" s="255"/>
      <c r="G265" s="424" t="s">
        <v>671</v>
      </c>
      <c r="H265" s="424" t="s">
        <v>671</v>
      </c>
      <c r="I265" s="424" t="s">
        <v>671</v>
      </c>
      <c r="J265" s="424" t="s">
        <v>671</v>
      </c>
      <c r="K265" s="424" t="s">
        <v>671</v>
      </c>
      <c r="M265" s="314"/>
      <c r="O265" s="314"/>
      <c r="P265" s="314"/>
      <c r="Q265" s="314"/>
    </row>
    <row r="266" spans="3:17">
      <c r="C266" s="277" t="s">
        <v>287</v>
      </c>
      <c r="D266" s="255"/>
      <c r="E266" s="255"/>
      <c r="G266" s="221"/>
      <c r="H266" s="221"/>
      <c r="I266" s="221"/>
      <c r="J266" s="221"/>
      <c r="K266" s="221"/>
      <c r="M266" s="314"/>
      <c r="O266" s="314"/>
      <c r="P266" s="314"/>
      <c r="Q266" s="314"/>
    </row>
    <row r="267" spans="3:17">
      <c r="C267" s="277" t="s">
        <v>288</v>
      </c>
      <c r="D267" s="255"/>
      <c r="E267" s="255"/>
      <c r="G267" s="424" t="s">
        <v>671</v>
      </c>
      <c r="H267" s="424" t="s">
        <v>671</v>
      </c>
      <c r="I267" s="424" t="s">
        <v>671</v>
      </c>
      <c r="J267" s="424" t="s">
        <v>671</v>
      </c>
      <c r="K267" s="424" t="s">
        <v>671</v>
      </c>
      <c r="M267" s="314"/>
      <c r="O267" s="314"/>
      <c r="P267" s="314"/>
      <c r="Q267" s="314"/>
    </row>
    <row r="268" spans="3:17">
      <c r="C268" s="255"/>
      <c r="D268" s="255"/>
      <c r="E268" s="255"/>
      <c r="G268" s="221"/>
      <c r="H268" s="221"/>
      <c r="I268" s="221"/>
      <c r="J268" s="221"/>
      <c r="K268" s="221"/>
      <c r="M268" s="314"/>
      <c r="O268" s="314"/>
      <c r="P268" s="314"/>
      <c r="Q268" s="314"/>
    </row>
    <row r="269" spans="3:17">
      <c r="C269" s="277" t="s">
        <v>227</v>
      </c>
      <c r="D269" s="255"/>
      <c r="E269" s="255"/>
      <c r="G269" s="424" t="s">
        <v>671</v>
      </c>
      <c r="H269" s="424" t="s">
        <v>671</v>
      </c>
      <c r="I269" s="424" t="s">
        <v>671</v>
      </c>
      <c r="J269" s="424" t="s">
        <v>671</v>
      </c>
      <c r="K269" s="424" t="s">
        <v>671</v>
      </c>
      <c r="M269" s="314"/>
      <c r="O269" s="314"/>
      <c r="P269" s="314"/>
      <c r="Q269" s="314"/>
    </row>
    <row r="270" spans="3:17">
      <c r="C270" s="255"/>
      <c r="D270" s="255"/>
      <c r="E270" s="255"/>
      <c r="G270" s="270"/>
      <c r="I270" s="270"/>
      <c r="J270" s="270"/>
      <c r="K270" s="270"/>
      <c r="O270" s="314"/>
      <c r="P270" s="314"/>
      <c r="Q270" s="314"/>
    </row>
    <row r="271" spans="3:17">
      <c r="C271" s="277" t="s">
        <v>36</v>
      </c>
      <c r="D271" s="255"/>
      <c r="E271" s="255"/>
      <c r="G271" s="424" t="s">
        <v>671</v>
      </c>
      <c r="H271" s="424" t="s">
        <v>671</v>
      </c>
      <c r="I271" s="424" t="s">
        <v>671</v>
      </c>
      <c r="J271" s="424" t="s">
        <v>671</v>
      </c>
      <c r="K271" s="424" t="s">
        <v>671</v>
      </c>
      <c r="M271" s="314"/>
      <c r="O271" s="314"/>
      <c r="P271" s="314"/>
      <c r="Q271" s="314"/>
    </row>
    <row r="272" spans="3:17">
      <c r="I272" s="255"/>
      <c r="K272" s="255"/>
      <c r="O272" s="314"/>
      <c r="P272" s="314"/>
      <c r="Q272" s="314"/>
    </row>
    <row r="273" spans="2:14">
      <c r="B273" s="257" t="s">
        <v>307</v>
      </c>
      <c r="C273" s="255"/>
      <c r="D273" s="255"/>
      <c r="E273" s="255"/>
      <c r="G273" s="424" t="s">
        <v>671</v>
      </c>
      <c r="H273" s="424" t="s">
        <v>671</v>
      </c>
      <c r="I273" s="424" t="s">
        <v>671</v>
      </c>
      <c r="J273" s="424" t="s">
        <v>671</v>
      </c>
      <c r="K273" s="424" t="s">
        <v>671</v>
      </c>
      <c r="L273" s="259"/>
      <c r="M273" s="252"/>
      <c r="N273" s="220" t="s">
        <v>455</v>
      </c>
    </row>
    <row r="274" spans="2:14">
      <c r="I274" s="255"/>
      <c r="K274" s="255"/>
    </row>
    <row r="275" spans="2:14">
      <c r="B275" s="255"/>
      <c r="C275" s="277" t="s">
        <v>360</v>
      </c>
      <c r="D275" s="255"/>
      <c r="E275" s="255"/>
      <c r="G275" s="424" t="s">
        <v>671</v>
      </c>
      <c r="H275" s="424" t="s">
        <v>671</v>
      </c>
      <c r="I275" s="424" t="s">
        <v>671</v>
      </c>
      <c r="J275" s="424" t="s">
        <v>671</v>
      </c>
      <c r="K275" s="424" t="s">
        <v>671</v>
      </c>
      <c r="N275" s="424" t="s">
        <v>671</v>
      </c>
    </row>
    <row r="276" spans="2:14">
      <c r="B276" s="255"/>
      <c r="C276" s="277" t="s">
        <v>361</v>
      </c>
      <c r="D276" s="255"/>
      <c r="E276" s="255"/>
      <c r="G276" s="424" t="s">
        <v>671</v>
      </c>
      <c r="H276" s="424" t="s">
        <v>671</v>
      </c>
      <c r="I276" s="424" t="s">
        <v>671</v>
      </c>
      <c r="J276" s="424" t="s">
        <v>671</v>
      </c>
      <c r="K276" s="424" t="s">
        <v>671</v>
      </c>
      <c r="N276" s="424" t="s">
        <v>671</v>
      </c>
    </row>
    <row r="277" spans="2:14">
      <c r="B277" s="255"/>
      <c r="D277" s="255"/>
      <c r="E277" s="255"/>
      <c r="G277" s="269"/>
      <c r="H277" s="269"/>
      <c r="I277" s="269"/>
      <c r="J277" s="269"/>
      <c r="K277" s="269"/>
      <c r="N277" s="269"/>
    </row>
    <row r="278" spans="2:14">
      <c r="B278" s="318" t="s">
        <v>238</v>
      </c>
      <c r="D278" s="255"/>
      <c r="E278" s="255"/>
      <c r="G278" s="269"/>
      <c r="H278" s="269"/>
      <c r="I278" s="269"/>
      <c r="J278" s="269"/>
      <c r="K278" s="269"/>
      <c r="N278" s="269"/>
    </row>
    <row r="279" spans="2:14">
      <c r="B279" s="318"/>
      <c r="D279" s="255"/>
      <c r="E279" s="255"/>
      <c r="G279" s="269"/>
      <c r="H279" s="269"/>
      <c r="I279" s="269"/>
      <c r="J279" s="269"/>
      <c r="K279" s="269"/>
      <c r="N279" s="269"/>
    </row>
    <row r="280" spans="2:14">
      <c r="B280" s="319" t="s">
        <v>423</v>
      </c>
      <c r="D280" s="255"/>
      <c r="E280" s="255"/>
      <c r="G280" s="424" t="s">
        <v>671</v>
      </c>
      <c r="H280" s="424" t="s">
        <v>671</v>
      </c>
      <c r="I280" s="424" t="s">
        <v>671</v>
      </c>
      <c r="J280" s="424" t="s">
        <v>671</v>
      </c>
      <c r="K280" s="424" t="s">
        <v>671</v>
      </c>
      <c r="N280" s="269"/>
    </row>
    <row r="281" spans="2:14">
      <c r="B281" s="319"/>
      <c r="D281" s="255"/>
      <c r="E281" s="255"/>
      <c r="G281" s="424" t="s">
        <v>671</v>
      </c>
      <c r="H281" s="424" t="s">
        <v>671</v>
      </c>
      <c r="I281" s="424" t="s">
        <v>671</v>
      </c>
      <c r="J281" s="424" t="s">
        <v>671</v>
      </c>
      <c r="K281" s="424" t="s">
        <v>671</v>
      </c>
      <c r="N281" s="269"/>
    </row>
    <row r="282" spans="2:14">
      <c r="B282" s="318"/>
      <c r="D282" s="255"/>
      <c r="E282" s="255"/>
      <c r="G282" s="269"/>
      <c r="H282" s="269"/>
      <c r="I282" s="269"/>
      <c r="J282" s="269"/>
      <c r="K282" s="269"/>
      <c r="N282" s="269"/>
    </row>
    <row r="283" spans="2:14">
      <c r="B283" s="277" t="s">
        <v>21</v>
      </c>
      <c r="D283" s="255"/>
      <c r="E283" s="255"/>
      <c r="G283" s="424" t="s">
        <v>671</v>
      </c>
      <c r="H283" s="424" t="s">
        <v>671</v>
      </c>
      <c r="I283" s="424" t="s">
        <v>671</v>
      </c>
      <c r="J283" s="424" t="s">
        <v>671</v>
      </c>
      <c r="K283" s="424" t="s">
        <v>671</v>
      </c>
      <c r="N283" s="269"/>
    </row>
    <row r="284" spans="2:14">
      <c r="C284" s="277" t="s">
        <v>15</v>
      </c>
      <c r="G284" s="424" t="s">
        <v>671</v>
      </c>
      <c r="H284" s="424" t="s">
        <v>671</v>
      </c>
      <c r="I284" s="424" t="s">
        <v>671</v>
      </c>
      <c r="J284" s="424" t="s">
        <v>671</v>
      </c>
      <c r="K284" s="424" t="s">
        <v>671</v>
      </c>
    </row>
    <row r="285" spans="2:14">
      <c r="C285" s="277" t="s">
        <v>16</v>
      </c>
      <c r="G285" s="424" t="s">
        <v>671</v>
      </c>
      <c r="H285" s="424" t="s">
        <v>671</v>
      </c>
      <c r="I285" s="424" t="s">
        <v>671</v>
      </c>
      <c r="J285" s="424" t="s">
        <v>671</v>
      </c>
      <c r="K285" s="424" t="s">
        <v>671</v>
      </c>
    </row>
    <row r="286" spans="2:14">
      <c r="C286" s="277" t="s">
        <v>17</v>
      </c>
      <c r="G286" s="424" t="s">
        <v>671</v>
      </c>
      <c r="H286" s="424" t="s">
        <v>671</v>
      </c>
      <c r="I286" s="424" t="s">
        <v>671</v>
      </c>
      <c r="J286" s="424" t="s">
        <v>671</v>
      </c>
      <c r="K286" s="424" t="s">
        <v>671</v>
      </c>
    </row>
    <row r="287" spans="2:14">
      <c r="G287" s="269"/>
      <c r="H287" s="269"/>
      <c r="I287" s="269"/>
      <c r="J287" s="269"/>
      <c r="K287" s="269"/>
    </row>
    <row r="288" spans="2:14">
      <c r="B288" s="277" t="s">
        <v>22</v>
      </c>
      <c r="G288" s="424" t="s">
        <v>671</v>
      </c>
      <c r="H288" s="424" t="s">
        <v>671</v>
      </c>
      <c r="I288" s="424" t="s">
        <v>671</v>
      </c>
      <c r="J288" s="424" t="s">
        <v>671</v>
      </c>
      <c r="K288" s="424" t="s">
        <v>671</v>
      </c>
    </row>
    <row r="289" spans="2:21">
      <c r="C289" s="277" t="s">
        <v>15</v>
      </c>
      <c r="G289" s="424" t="s">
        <v>671</v>
      </c>
      <c r="H289" s="424" t="s">
        <v>671</v>
      </c>
      <c r="I289" s="424" t="s">
        <v>671</v>
      </c>
      <c r="J289" s="424" t="s">
        <v>671</v>
      </c>
      <c r="K289" s="424" t="s">
        <v>671</v>
      </c>
    </row>
    <row r="290" spans="2:21">
      <c r="C290" s="277" t="s">
        <v>16</v>
      </c>
      <c r="G290" s="424" t="s">
        <v>671</v>
      </c>
      <c r="H290" s="424" t="s">
        <v>671</v>
      </c>
      <c r="I290" s="424" t="s">
        <v>671</v>
      </c>
      <c r="J290" s="424" t="s">
        <v>671</v>
      </c>
      <c r="K290" s="424" t="s">
        <v>671</v>
      </c>
    </row>
    <row r="291" spans="2:21">
      <c r="C291" s="277" t="s">
        <v>17</v>
      </c>
      <c r="G291" s="424" t="s">
        <v>671</v>
      </c>
      <c r="H291" s="424" t="s">
        <v>671</v>
      </c>
      <c r="I291" s="424" t="s">
        <v>671</v>
      </c>
      <c r="J291" s="424" t="s">
        <v>671</v>
      </c>
      <c r="K291" s="424" t="s">
        <v>671</v>
      </c>
    </row>
    <row r="293" spans="2:21">
      <c r="B293" s="257" t="s">
        <v>347</v>
      </c>
    </row>
    <row r="295" spans="2:21">
      <c r="C295" s="277" t="s">
        <v>348</v>
      </c>
    </row>
    <row r="296" spans="2:21">
      <c r="C296" s="277" t="s">
        <v>21</v>
      </c>
      <c r="G296" s="424" t="s">
        <v>671</v>
      </c>
      <c r="H296" s="424" t="s">
        <v>671</v>
      </c>
      <c r="I296" s="424" t="s">
        <v>671</v>
      </c>
      <c r="J296" s="424" t="s">
        <v>671</v>
      </c>
      <c r="K296" s="424" t="s">
        <v>671</v>
      </c>
      <c r="M296" s="252" t="s">
        <v>353</v>
      </c>
      <c r="N296" s="255"/>
      <c r="U296" s="277"/>
    </row>
    <row r="297" spans="2:21">
      <c r="C297" s="282" t="s">
        <v>349</v>
      </c>
      <c r="D297" s="282"/>
      <c r="E297" s="282"/>
      <c r="G297" s="424" t="s">
        <v>671</v>
      </c>
      <c r="H297" s="424" t="s">
        <v>671</v>
      </c>
      <c r="I297" s="424" t="s">
        <v>671</v>
      </c>
      <c r="J297" s="424" t="s">
        <v>671</v>
      </c>
      <c r="K297" s="424" t="s">
        <v>671</v>
      </c>
      <c r="M297" s="424" t="s">
        <v>671</v>
      </c>
      <c r="N297" s="255"/>
      <c r="U297" s="277"/>
    </row>
    <row r="298" spans="2:21">
      <c r="C298" s="282" t="s">
        <v>350</v>
      </c>
      <c r="D298" s="282"/>
      <c r="E298" s="282"/>
      <c r="G298" s="424" t="s">
        <v>671</v>
      </c>
      <c r="H298" s="424" t="s">
        <v>671</v>
      </c>
      <c r="I298" s="424" t="s">
        <v>671</v>
      </c>
      <c r="J298" s="424" t="s">
        <v>671</v>
      </c>
      <c r="K298" s="424" t="s">
        <v>671</v>
      </c>
      <c r="M298" s="424" t="s">
        <v>671</v>
      </c>
      <c r="N298" s="255"/>
      <c r="U298" s="277"/>
    </row>
    <row r="299" spans="2:21">
      <c r="C299" s="282" t="s">
        <v>351</v>
      </c>
      <c r="D299" s="282"/>
      <c r="E299" s="282"/>
      <c r="G299" s="424" t="s">
        <v>671</v>
      </c>
      <c r="H299" s="424" t="s">
        <v>671</v>
      </c>
      <c r="I299" s="424" t="s">
        <v>671</v>
      </c>
      <c r="J299" s="424" t="s">
        <v>671</v>
      </c>
      <c r="K299" s="424" t="s">
        <v>671</v>
      </c>
      <c r="M299" s="424" t="s">
        <v>671</v>
      </c>
      <c r="N299" s="255"/>
      <c r="U299" s="277"/>
    </row>
    <row r="300" spans="2:21">
      <c r="C300" s="282" t="s">
        <v>354</v>
      </c>
      <c r="D300" s="282"/>
      <c r="E300" s="282"/>
      <c r="G300" s="424" t="s">
        <v>671</v>
      </c>
      <c r="H300" s="424" t="s">
        <v>671</v>
      </c>
      <c r="I300" s="424" t="s">
        <v>671</v>
      </c>
      <c r="J300" s="424" t="s">
        <v>671</v>
      </c>
      <c r="K300" s="424" t="s">
        <v>671</v>
      </c>
      <c r="M300" s="424" t="s">
        <v>671</v>
      </c>
      <c r="N300" s="255"/>
      <c r="U300" s="277"/>
    </row>
    <row r="301" spans="2:21">
      <c r="C301" s="282" t="s">
        <v>227</v>
      </c>
      <c r="D301" s="282"/>
      <c r="E301" s="282"/>
      <c r="G301" s="424" t="s">
        <v>671</v>
      </c>
      <c r="H301" s="424" t="s">
        <v>671</v>
      </c>
      <c r="I301" s="424" t="s">
        <v>671</v>
      </c>
      <c r="J301" s="424" t="s">
        <v>671</v>
      </c>
      <c r="K301" s="424" t="s">
        <v>671</v>
      </c>
      <c r="M301" s="424" t="s">
        <v>671</v>
      </c>
      <c r="N301" s="255"/>
      <c r="U301" s="277"/>
    </row>
    <row r="302" spans="2:21">
      <c r="G302" s="247"/>
      <c r="H302" s="247"/>
      <c r="I302" s="247"/>
      <c r="J302" s="247"/>
      <c r="K302" s="247"/>
      <c r="M302" s="247"/>
      <c r="N302" s="255"/>
      <c r="U302" s="277"/>
    </row>
    <row r="303" spans="2:21">
      <c r="C303" s="277" t="s">
        <v>22</v>
      </c>
      <c r="G303" s="424" t="s">
        <v>671</v>
      </c>
      <c r="H303" s="424" t="s">
        <v>671</v>
      </c>
      <c r="I303" s="424" t="s">
        <v>671</v>
      </c>
      <c r="J303" s="424" t="s">
        <v>671</v>
      </c>
      <c r="K303" s="424" t="s">
        <v>671</v>
      </c>
      <c r="M303" s="252" t="s">
        <v>353</v>
      </c>
      <c r="N303" s="255"/>
      <c r="U303" s="277"/>
    </row>
    <row r="304" spans="2:21">
      <c r="C304" s="282" t="s">
        <v>349</v>
      </c>
      <c r="G304" s="424" t="s">
        <v>671</v>
      </c>
      <c r="H304" s="424" t="s">
        <v>671</v>
      </c>
      <c r="I304" s="424" t="s">
        <v>671</v>
      </c>
      <c r="J304" s="424" t="s">
        <v>671</v>
      </c>
      <c r="K304" s="424" t="s">
        <v>671</v>
      </c>
      <c r="M304" s="424" t="s">
        <v>671</v>
      </c>
      <c r="N304" s="255"/>
      <c r="U304" s="277"/>
    </row>
    <row r="305" spans="3:21">
      <c r="C305" s="282" t="s">
        <v>350</v>
      </c>
      <c r="G305" s="424" t="s">
        <v>671</v>
      </c>
      <c r="H305" s="424" t="s">
        <v>671</v>
      </c>
      <c r="I305" s="424" t="s">
        <v>671</v>
      </c>
      <c r="J305" s="424" t="s">
        <v>671</v>
      </c>
      <c r="K305" s="424" t="s">
        <v>671</v>
      </c>
      <c r="M305" s="424" t="s">
        <v>671</v>
      </c>
      <c r="N305" s="255"/>
      <c r="U305" s="277"/>
    </row>
    <row r="306" spans="3:21">
      <c r="C306" s="282" t="s">
        <v>351</v>
      </c>
      <c r="G306" s="424" t="s">
        <v>671</v>
      </c>
      <c r="H306" s="424" t="s">
        <v>671</v>
      </c>
      <c r="I306" s="424" t="s">
        <v>671</v>
      </c>
      <c r="J306" s="424" t="s">
        <v>671</v>
      </c>
      <c r="K306" s="424" t="s">
        <v>671</v>
      </c>
      <c r="M306" s="424" t="s">
        <v>671</v>
      </c>
      <c r="N306" s="255"/>
      <c r="U306" s="277"/>
    </row>
    <row r="307" spans="3:21">
      <c r="C307" s="282" t="s">
        <v>352</v>
      </c>
      <c r="G307" s="424" t="s">
        <v>671</v>
      </c>
      <c r="H307" s="424" t="s">
        <v>671</v>
      </c>
      <c r="I307" s="424" t="s">
        <v>671</v>
      </c>
      <c r="J307" s="424" t="s">
        <v>671</v>
      </c>
      <c r="K307" s="424" t="s">
        <v>671</v>
      </c>
      <c r="M307" s="424" t="s">
        <v>671</v>
      </c>
      <c r="N307" s="255"/>
      <c r="U307" s="277"/>
    </row>
    <row r="308" spans="3:21">
      <c r="C308" s="282" t="s">
        <v>227</v>
      </c>
      <c r="G308" s="424" t="s">
        <v>671</v>
      </c>
      <c r="H308" s="424" t="s">
        <v>671</v>
      </c>
      <c r="I308" s="424" t="s">
        <v>671</v>
      </c>
      <c r="J308" s="424" t="s">
        <v>671</v>
      </c>
      <c r="K308" s="424" t="s">
        <v>671</v>
      </c>
      <c r="M308" s="424" t="s">
        <v>671</v>
      </c>
      <c r="N308" s="255"/>
      <c r="U308" s="277"/>
    </row>
    <row r="309" spans="3:21">
      <c r="G309" s="247"/>
      <c r="H309" s="247"/>
      <c r="I309" s="247"/>
      <c r="J309" s="247"/>
      <c r="K309" s="247"/>
      <c r="M309" s="247"/>
      <c r="N309" s="255"/>
      <c r="U309" s="277"/>
    </row>
    <row r="310" spans="3:21">
      <c r="C310" s="277" t="s">
        <v>16</v>
      </c>
      <c r="G310" s="247"/>
      <c r="H310" s="247"/>
      <c r="I310" s="247"/>
      <c r="J310" s="247"/>
      <c r="K310" s="247"/>
      <c r="M310" s="247"/>
      <c r="N310" s="255"/>
      <c r="U310" s="277"/>
    </row>
    <row r="311" spans="3:21">
      <c r="C311" s="277" t="s">
        <v>21</v>
      </c>
      <c r="G311" s="424" t="s">
        <v>671</v>
      </c>
      <c r="H311" s="424" t="s">
        <v>671</v>
      </c>
      <c r="I311" s="424" t="s">
        <v>671</v>
      </c>
      <c r="J311" s="424" t="s">
        <v>671</v>
      </c>
      <c r="K311" s="424" t="s">
        <v>671</v>
      </c>
      <c r="M311" s="252" t="s">
        <v>353</v>
      </c>
      <c r="N311" s="255"/>
      <c r="U311" s="277"/>
    </row>
    <row r="312" spans="3:21">
      <c r="C312" s="282" t="s">
        <v>349</v>
      </c>
      <c r="G312" s="424" t="s">
        <v>671</v>
      </c>
      <c r="H312" s="424" t="s">
        <v>671</v>
      </c>
      <c r="I312" s="424" t="s">
        <v>671</v>
      </c>
      <c r="J312" s="424" t="s">
        <v>671</v>
      </c>
      <c r="K312" s="424" t="s">
        <v>671</v>
      </c>
      <c r="M312" s="424" t="s">
        <v>671</v>
      </c>
      <c r="N312" s="255"/>
      <c r="U312" s="277"/>
    </row>
    <row r="313" spans="3:21">
      <c r="C313" s="282" t="s">
        <v>350</v>
      </c>
      <c r="G313" s="424" t="s">
        <v>671</v>
      </c>
      <c r="H313" s="424" t="s">
        <v>671</v>
      </c>
      <c r="I313" s="424" t="s">
        <v>671</v>
      </c>
      <c r="J313" s="424" t="s">
        <v>671</v>
      </c>
      <c r="K313" s="424" t="s">
        <v>671</v>
      </c>
      <c r="M313" s="424" t="s">
        <v>671</v>
      </c>
      <c r="N313" s="255"/>
      <c r="U313" s="277"/>
    </row>
    <row r="314" spans="3:21">
      <c r="C314" s="282" t="s">
        <v>351</v>
      </c>
      <c r="G314" s="424" t="s">
        <v>671</v>
      </c>
      <c r="H314" s="424" t="s">
        <v>671</v>
      </c>
      <c r="I314" s="424" t="s">
        <v>671</v>
      </c>
      <c r="J314" s="424" t="s">
        <v>671</v>
      </c>
      <c r="K314" s="424" t="s">
        <v>671</v>
      </c>
      <c r="M314" s="424" t="s">
        <v>671</v>
      </c>
      <c r="N314" s="255"/>
      <c r="U314" s="277"/>
    </row>
    <row r="315" spans="3:21">
      <c r="C315" s="282" t="s">
        <v>354</v>
      </c>
      <c r="G315" s="424" t="s">
        <v>671</v>
      </c>
      <c r="H315" s="424" t="s">
        <v>671</v>
      </c>
      <c r="I315" s="424" t="s">
        <v>671</v>
      </c>
      <c r="J315" s="424" t="s">
        <v>671</v>
      </c>
      <c r="K315" s="424" t="s">
        <v>671</v>
      </c>
      <c r="M315" s="424" t="s">
        <v>671</v>
      </c>
      <c r="N315" s="255"/>
      <c r="U315" s="277"/>
    </row>
    <row r="316" spans="3:21">
      <c r="C316" s="282" t="s">
        <v>227</v>
      </c>
      <c r="G316" s="424" t="s">
        <v>671</v>
      </c>
      <c r="H316" s="424" t="s">
        <v>671</v>
      </c>
      <c r="I316" s="424" t="s">
        <v>671</v>
      </c>
      <c r="J316" s="424" t="s">
        <v>671</v>
      </c>
      <c r="K316" s="424" t="s">
        <v>671</v>
      </c>
      <c r="M316" s="424" t="s">
        <v>671</v>
      </c>
      <c r="N316" s="255"/>
      <c r="U316" s="277"/>
    </row>
    <row r="317" spans="3:21">
      <c r="G317" s="247"/>
      <c r="H317" s="247"/>
      <c r="I317" s="247"/>
      <c r="J317" s="247"/>
      <c r="K317" s="247"/>
      <c r="M317" s="247"/>
      <c r="N317" s="255"/>
      <c r="U317" s="277"/>
    </row>
    <row r="318" spans="3:21">
      <c r="C318" s="277" t="s">
        <v>22</v>
      </c>
      <c r="G318" s="424" t="s">
        <v>671</v>
      </c>
      <c r="H318" s="424" t="s">
        <v>671</v>
      </c>
      <c r="I318" s="424" t="s">
        <v>671</v>
      </c>
      <c r="J318" s="424" t="s">
        <v>671</v>
      </c>
      <c r="K318" s="424" t="s">
        <v>671</v>
      </c>
      <c r="M318" s="252" t="s">
        <v>353</v>
      </c>
      <c r="N318" s="255"/>
      <c r="U318" s="277"/>
    </row>
    <row r="319" spans="3:21">
      <c r="C319" s="282" t="s">
        <v>349</v>
      </c>
      <c r="G319" s="424" t="s">
        <v>671</v>
      </c>
      <c r="H319" s="424" t="s">
        <v>671</v>
      </c>
      <c r="I319" s="424" t="s">
        <v>671</v>
      </c>
      <c r="J319" s="424" t="s">
        <v>671</v>
      </c>
      <c r="K319" s="424" t="s">
        <v>671</v>
      </c>
      <c r="M319" s="424" t="s">
        <v>671</v>
      </c>
      <c r="N319" s="255"/>
      <c r="U319" s="277"/>
    </row>
    <row r="320" spans="3:21">
      <c r="C320" s="282" t="s">
        <v>350</v>
      </c>
      <c r="G320" s="424" t="s">
        <v>671</v>
      </c>
      <c r="H320" s="424" t="s">
        <v>671</v>
      </c>
      <c r="I320" s="424" t="s">
        <v>671</v>
      </c>
      <c r="J320" s="424" t="s">
        <v>671</v>
      </c>
      <c r="K320" s="424" t="s">
        <v>671</v>
      </c>
      <c r="M320" s="424" t="s">
        <v>671</v>
      </c>
      <c r="N320" s="255"/>
      <c r="U320" s="277"/>
    </row>
    <row r="321" spans="3:21">
      <c r="C321" s="282" t="s">
        <v>351</v>
      </c>
      <c r="G321" s="424" t="s">
        <v>671</v>
      </c>
      <c r="H321" s="424" t="s">
        <v>671</v>
      </c>
      <c r="I321" s="424" t="s">
        <v>671</v>
      </c>
      <c r="J321" s="424" t="s">
        <v>671</v>
      </c>
      <c r="K321" s="424" t="s">
        <v>671</v>
      </c>
      <c r="M321" s="424" t="s">
        <v>671</v>
      </c>
      <c r="N321" s="255"/>
      <c r="U321" s="277"/>
    </row>
    <row r="322" spans="3:21">
      <c r="C322" s="282" t="s">
        <v>354</v>
      </c>
      <c r="G322" s="424" t="s">
        <v>671</v>
      </c>
      <c r="H322" s="424" t="s">
        <v>671</v>
      </c>
      <c r="I322" s="424" t="s">
        <v>671</v>
      </c>
      <c r="J322" s="424" t="s">
        <v>671</v>
      </c>
      <c r="K322" s="424" t="s">
        <v>671</v>
      </c>
      <c r="M322" s="424" t="s">
        <v>671</v>
      </c>
      <c r="N322" s="255"/>
      <c r="U322" s="277"/>
    </row>
    <row r="323" spans="3:21">
      <c r="C323" s="282" t="s">
        <v>227</v>
      </c>
      <c r="G323" s="424" t="s">
        <v>671</v>
      </c>
      <c r="H323" s="424" t="s">
        <v>671</v>
      </c>
      <c r="I323" s="424" t="s">
        <v>671</v>
      </c>
      <c r="J323" s="424" t="s">
        <v>671</v>
      </c>
      <c r="K323" s="424" t="s">
        <v>671</v>
      </c>
      <c r="M323" s="424" t="s">
        <v>671</v>
      </c>
      <c r="N323" s="255"/>
      <c r="U323" s="277"/>
    </row>
    <row r="324" spans="3:21">
      <c r="G324" s="247"/>
      <c r="H324" s="247"/>
      <c r="I324" s="247"/>
      <c r="J324" s="247"/>
      <c r="K324" s="247"/>
      <c r="M324" s="247"/>
      <c r="N324" s="255"/>
      <c r="U324" s="277"/>
    </row>
    <row r="325" spans="3:21">
      <c r="C325" s="277" t="s">
        <v>17</v>
      </c>
      <c r="G325" s="247"/>
      <c r="H325" s="247"/>
      <c r="I325" s="247"/>
      <c r="J325" s="247"/>
      <c r="K325" s="247"/>
      <c r="M325" s="247"/>
      <c r="N325" s="255"/>
      <c r="U325" s="277"/>
    </row>
    <row r="326" spans="3:21">
      <c r="C326" s="277" t="s">
        <v>21</v>
      </c>
      <c r="G326" s="424" t="s">
        <v>671</v>
      </c>
      <c r="H326" s="424" t="s">
        <v>671</v>
      </c>
      <c r="I326" s="424" t="s">
        <v>671</v>
      </c>
      <c r="J326" s="424" t="s">
        <v>671</v>
      </c>
      <c r="K326" s="424" t="s">
        <v>671</v>
      </c>
      <c r="M326" s="252" t="s">
        <v>353</v>
      </c>
      <c r="N326" s="255"/>
      <c r="U326" s="277"/>
    </row>
    <row r="327" spans="3:21">
      <c r="C327" s="282" t="s">
        <v>349</v>
      </c>
      <c r="G327" s="424" t="s">
        <v>671</v>
      </c>
      <c r="H327" s="424" t="s">
        <v>671</v>
      </c>
      <c r="I327" s="424" t="s">
        <v>671</v>
      </c>
      <c r="J327" s="424" t="s">
        <v>671</v>
      </c>
      <c r="K327" s="424" t="s">
        <v>671</v>
      </c>
      <c r="M327" s="424" t="s">
        <v>671</v>
      </c>
      <c r="N327" s="255"/>
      <c r="U327" s="277"/>
    </row>
    <row r="328" spans="3:21">
      <c r="C328" s="282" t="s">
        <v>350</v>
      </c>
      <c r="G328" s="424" t="s">
        <v>671</v>
      </c>
      <c r="H328" s="424" t="s">
        <v>671</v>
      </c>
      <c r="I328" s="424" t="s">
        <v>671</v>
      </c>
      <c r="J328" s="424" t="s">
        <v>671</v>
      </c>
      <c r="K328" s="424" t="s">
        <v>671</v>
      </c>
      <c r="M328" s="424" t="s">
        <v>671</v>
      </c>
      <c r="N328" s="255"/>
      <c r="U328" s="277"/>
    </row>
    <row r="329" spans="3:21">
      <c r="C329" s="282" t="s">
        <v>351</v>
      </c>
      <c r="G329" s="424" t="s">
        <v>671</v>
      </c>
      <c r="H329" s="424" t="s">
        <v>671</v>
      </c>
      <c r="I329" s="424" t="s">
        <v>671</v>
      </c>
      <c r="J329" s="424" t="s">
        <v>671</v>
      </c>
      <c r="K329" s="424" t="s">
        <v>671</v>
      </c>
      <c r="M329" s="424" t="s">
        <v>671</v>
      </c>
      <c r="N329" s="255"/>
      <c r="U329" s="277"/>
    </row>
    <row r="330" spans="3:21">
      <c r="C330" s="282" t="s">
        <v>354</v>
      </c>
      <c r="G330" s="424" t="s">
        <v>671</v>
      </c>
      <c r="H330" s="424" t="s">
        <v>671</v>
      </c>
      <c r="I330" s="424" t="s">
        <v>671</v>
      </c>
      <c r="J330" s="424" t="s">
        <v>671</v>
      </c>
      <c r="K330" s="424" t="s">
        <v>671</v>
      </c>
      <c r="M330" s="424" t="s">
        <v>671</v>
      </c>
      <c r="N330" s="255"/>
      <c r="U330" s="277"/>
    </row>
    <row r="331" spans="3:21">
      <c r="C331" s="282" t="s">
        <v>227</v>
      </c>
      <c r="G331" s="424" t="s">
        <v>671</v>
      </c>
      <c r="H331" s="424" t="s">
        <v>671</v>
      </c>
      <c r="I331" s="424" t="s">
        <v>671</v>
      </c>
      <c r="J331" s="424" t="s">
        <v>671</v>
      </c>
      <c r="K331" s="424" t="s">
        <v>671</v>
      </c>
      <c r="M331" s="424" t="s">
        <v>671</v>
      </c>
      <c r="N331" s="255"/>
      <c r="U331" s="277"/>
    </row>
    <row r="332" spans="3:21">
      <c r="G332" s="247"/>
      <c r="H332" s="247"/>
      <c r="I332" s="247"/>
      <c r="J332" s="247"/>
      <c r="K332" s="247"/>
      <c r="M332" s="247"/>
      <c r="N332" s="255"/>
      <c r="U332" s="277"/>
    </row>
    <row r="333" spans="3:21">
      <c r="C333" s="277" t="s">
        <v>22</v>
      </c>
      <c r="G333" s="424" t="s">
        <v>671</v>
      </c>
      <c r="H333" s="424" t="s">
        <v>671</v>
      </c>
      <c r="I333" s="424" t="s">
        <v>671</v>
      </c>
      <c r="J333" s="424" t="s">
        <v>671</v>
      </c>
      <c r="K333" s="424" t="s">
        <v>671</v>
      </c>
      <c r="M333" s="252" t="s">
        <v>353</v>
      </c>
      <c r="N333" s="255"/>
      <c r="U333" s="277"/>
    </row>
    <row r="334" spans="3:21">
      <c r="C334" s="282" t="s">
        <v>349</v>
      </c>
      <c r="G334" s="424" t="s">
        <v>671</v>
      </c>
      <c r="H334" s="424" t="s">
        <v>671</v>
      </c>
      <c r="I334" s="424" t="s">
        <v>671</v>
      </c>
      <c r="J334" s="424" t="s">
        <v>671</v>
      </c>
      <c r="K334" s="424" t="s">
        <v>671</v>
      </c>
      <c r="M334" s="424" t="s">
        <v>671</v>
      </c>
      <c r="N334" s="255"/>
      <c r="U334" s="277"/>
    </row>
    <row r="335" spans="3:21">
      <c r="C335" s="282" t="s">
        <v>350</v>
      </c>
      <c r="G335" s="424" t="s">
        <v>671</v>
      </c>
      <c r="H335" s="424" t="s">
        <v>671</v>
      </c>
      <c r="I335" s="424" t="s">
        <v>671</v>
      </c>
      <c r="J335" s="424" t="s">
        <v>671</v>
      </c>
      <c r="K335" s="424" t="s">
        <v>671</v>
      </c>
      <c r="M335" s="424" t="s">
        <v>671</v>
      </c>
      <c r="N335" s="255"/>
      <c r="U335" s="277"/>
    </row>
    <row r="336" spans="3:21">
      <c r="C336" s="282" t="s">
        <v>351</v>
      </c>
      <c r="G336" s="424" t="s">
        <v>671</v>
      </c>
      <c r="H336" s="424" t="s">
        <v>671</v>
      </c>
      <c r="I336" s="424" t="s">
        <v>671</v>
      </c>
      <c r="J336" s="424" t="s">
        <v>671</v>
      </c>
      <c r="K336" s="424" t="s">
        <v>671</v>
      </c>
      <c r="M336" s="424" t="s">
        <v>671</v>
      </c>
      <c r="N336" s="255"/>
      <c r="U336" s="277"/>
    </row>
    <row r="337" spans="3:21">
      <c r="C337" s="282" t="s">
        <v>354</v>
      </c>
      <c r="G337" s="424" t="s">
        <v>671</v>
      </c>
      <c r="H337" s="424" t="s">
        <v>671</v>
      </c>
      <c r="I337" s="424" t="s">
        <v>671</v>
      </c>
      <c r="J337" s="424" t="s">
        <v>671</v>
      </c>
      <c r="K337" s="424" t="s">
        <v>671</v>
      </c>
      <c r="M337" s="424" t="s">
        <v>671</v>
      </c>
      <c r="N337" s="255"/>
      <c r="U337" s="277"/>
    </row>
    <row r="338" spans="3:21">
      <c r="C338" s="282" t="s">
        <v>227</v>
      </c>
      <c r="G338" s="424" t="s">
        <v>671</v>
      </c>
      <c r="H338" s="424" t="s">
        <v>671</v>
      </c>
      <c r="I338" s="424" t="s">
        <v>671</v>
      </c>
      <c r="J338" s="424" t="s">
        <v>671</v>
      </c>
      <c r="K338" s="424" t="s">
        <v>671</v>
      </c>
      <c r="M338" s="424" t="s">
        <v>671</v>
      </c>
      <c r="N338" s="255"/>
      <c r="U338" s="277"/>
    </row>
    <row r="341" spans="3:21">
      <c r="C341" s="285" t="s">
        <v>355</v>
      </c>
      <c r="D341" s="285" t="s">
        <v>15</v>
      </c>
      <c r="E341" s="285" t="s">
        <v>16</v>
      </c>
      <c r="F341" s="285" t="s">
        <v>17</v>
      </c>
    </row>
    <row r="342" spans="3:21">
      <c r="C342" s="282" t="s">
        <v>349</v>
      </c>
      <c r="D342" s="454">
        <v>0.36090959077842638</v>
      </c>
      <c r="E342" s="454">
        <v>0.44826700712048428</v>
      </c>
      <c r="F342" s="454">
        <v>0.42068173336691916</v>
      </c>
      <c r="H342" s="277" t="s">
        <v>685</v>
      </c>
    </row>
    <row r="343" spans="3:21">
      <c r="C343" s="282" t="s">
        <v>350</v>
      </c>
      <c r="D343" s="454">
        <v>0.11884148279914851</v>
      </c>
      <c r="E343" s="454">
        <v>0.15210164146221483</v>
      </c>
      <c r="F343" s="454">
        <v>0.20247265623862798</v>
      </c>
      <c r="H343" s="277" t="s">
        <v>685</v>
      </c>
    </row>
    <row r="344" spans="3:21">
      <c r="C344" s="282" t="s">
        <v>351</v>
      </c>
      <c r="D344" s="454">
        <v>0.13004216746174926</v>
      </c>
      <c r="E344" s="454">
        <v>0.15969005320585908</v>
      </c>
      <c r="F344" s="454">
        <v>0.25276567189815341</v>
      </c>
      <c r="H344" s="277" t="s">
        <v>685</v>
      </c>
    </row>
    <row r="345" spans="3:21">
      <c r="C345" s="282" t="s">
        <v>354</v>
      </c>
      <c r="D345" s="454">
        <v>0.14259478627485417</v>
      </c>
      <c r="E345" s="454">
        <v>6.759687972613132E-2</v>
      </c>
      <c r="F345" s="454">
        <v>4.1571687671216925E-2</v>
      </c>
      <c r="H345" s="277" t="s">
        <v>685</v>
      </c>
    </row>
    <row r="346" spans="3:21">
      <c r="C346" s="282" t="s">
        <v>227</v>
      </c>
      <c r="D346" s="454">
        <v>0.24761197268582169</v>
      </c>
      <c r="E346" s="454">
        <v>0.17234441848531051</v>
      </c>
      <c r="F346" s="454">
        <v>8.2508250825082508E-2</v>
      </c>
      <c r="H346" s="277" t="s">
        <v>685</v>
      </c>
    </row>
    <row r="348" spans="3:21">
      <c r="C348" s="285" t="s">
        <v>356</v>
      </c>
      <c r="D348" s="285" t="s">
        <v>15</v>
      </c>
      <c r="E348" s="285" t="s">
        <v>16</v>
      </c>
      <c r="F348" s="285" t="s">
        <v>17</v>
      </c>
    </row>
    <row r="349" spans="3:21">
      <c r="C349" s="282" t="s">
        <v>349</v>
      </c>
      <c r="D349" s="454">
        <v>0.58398950131233596</v>
      </c>
      <c r="E349" s="454">
        <v>0.38739257892851786</v>
      </c>
      <c r="F349" s="454">
        <v>0.5756013745704468</v>
      </c>
      <c r="H349" s="277" t="s">
        <v>685</v>
      </c>
    </row>
    <row r="350" spans="3:21">
      <c r="C350" s="282" t="s">
        <v>350</v>
      </c>
      <c r="D350" s="454">
        <v>0.16916010498687664</v>
      </c>
      <c r="E350" s="454">
        <v>0.23695391944281766</v>
      </c>
      <c r="F350" s="454">
        <v>0.15206185567010308</v>
      </c>
      <c r="H350" s="277" t="s">
        <v>685</v>
      </c>
    </row>
    <row r="351" spans="3:21">
      <c r="C351" s="282" t="s">
        <v>351</v>
      </c>
      <c r="D351" s="454">
        <v>0.15498687664041996</v>
      </c>
      <c r="E351" s="454">
        <v>6.8395765472312714E-2</v>
      </c>
      <c r="F351" s="454">
        <v>0.22079037800687284</v>
      </c>
      <c r="H351" s="277" t="s">
        <v>685</v>
      </c>
    </row>
    <row r="352" spans="3:21">
      <c r="C352" s="282" t="s">
        <v>354</v>
      </c>
      <c r="D352" s="454">
        <v>3.937007874015748E-2</v>
      </c>
      <c r="E352" s="454">
        <v>1.9085912052117265E-2</v>
      </c>
      <c r="F352" s="454">
        <v>5.1546391752577324E-2</v>
      </c>
      <c r="H352" s="277" t="s">
        <v>685</v>
      </c>
    </row>
    <row r="353" spans="3:21" ht="12.75">
      <c r="C353" s="282" t="s">
        <v>227</v>
      </c>
      <c r="D353" s="454">
        <v>5.2493438320209973E-2</v>
      </c>
      <c r="E353" s="454">
        <v>3.8171824104234531E-2</v>
      </c>
      <c r="F353" s="454">
        <v>0</v>
      </c>
      <c r="H353" s="277" t="s">
        <v>685</v>
      </c>
      <c r="L353" s="277"/>
      <c r="M353" s="277"/>
      <c r="O353" s="277"/>
      <c r="P353" s="277"/>
      <c r="Q353" s="277"/>
      <c r="R353" s="277"/>
      <c r="S353" s="277"/>
      <c r="T353" s="277"/>
      <c r="U353" s="277"/>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codeName="Sheet3"/>
  <dimension ref="A2:R180"/>
  <sheetViews>
    <sheetView showGridLines="0" zoomScale="85" zoomScaleNormal="85" workbookViewId="0">
      <selection activeCell="D55" sqref="D55"/>
    </sheetView>
  </sheetViews>
  <sheetFormatPr defaultColWidth="9.140625" defaultRowHeight="12.75"/>
  <cols>
    <col min="1" max="1" width="9.140625" style="277"/>
    <col min="2" max="2" width="18.7109375" style="277" customWidth="1"/>
    <col min="3" max="3" width="9.140625" style="277"/>
    <col min="4" max="4" width="23" style="277" customWidth="1"/>
    <col min="5" max="5" width="15.7109375" style="277" customWidth="1"/>
    <col min="6" max="6" width="13.85546875" style="247" bestFit="1" customWidth="1"/>
    <col min="7" max="7" width="13.5703125" style="247" customWidth="1"/>
    <col min="8" max="8" width="12.140625" style="247" customWidth="1"/>
    <col min="9" max="17" width="9.140625" style="277"/>
    <col min="18" max="18" width="13" style="278" customWidth="1"/>
    <col min="19" max="16384" width="9.140625" style="277"/>
  </cols>
  <sheetData>
    <row r="2" spans="2:18">
      <c r="B2" s="277" t="s">
        <v>0</v>
      </c>
      <c r="D2" s="257" t="str">
        <f ca="1">MID(CELL("filename",A1),FIND("]",CELL("filename",A1))+1,256)</f>
        <v>Industry Per CP Per Cust Costs</v>
      </c>
      <c r="R2" s="277"/>
    </row>
    <row r="3" spans="2:18">
      <c r="B3" s="277" t="s">
        <v>1</v>
      </c>
      <c r="D3" s="277" t="s">
        <v>575</v>
      </c>
      <c r="R3" s="277"/>
    </row>
    <row r="4" spans="2:18">
      <c r="B4" s="277" t="s">
        <v>640</v>
      </c>
      <c r="D4" s="415" t="s">
        <v>639</v>
      </c>
    </row>
    <row r="5" spans="2:18" s="259" customFormat="1">
      <c r="B5" s="259" t="s">
        <v>424</v>
      </c>
      <c r="D5" s="259" t="s">
        <v>19</v>
      </c>
      <c r="E5" s="259" t="s">
        <v>20</v>
      </c>
      <c r="F5" s="252" t="s">
        <v>15</v>
      </c>
      <c r="G5" s="252" t="s">
        <v>16</v>
      </c>
      <c r="H5" s="252" t="s">
        <v>17</v>
      </c>
      <c r="R5" s="260"/>
    </row>
    <row r="6" spans="2:18">
      <c r="B6" s="257"/>
    </row>
    <row r="7" spans="2:18">
      <c r="B7" s="257" t="s">
        <v>627</v>
      </c>
      <c r="D7" s="391">
        <v>1</v>
      </c>
    </row>
    <row r="8" spans="2:18">
      <c r="B8" s="277" t="s">
        <v>625</v>
      </c>
    </row>
    <row r="9" spans="2:18">
      <c r="B9" s="277" t="s">
        <v>626</v>
      </c>
    </row>
    <row r="10" spans="2:18">
      <c r="B10" s="257"/>
    </row>
    <row r="11" spans="2:18">
      <c r="D11" s="257" t="s">
        <v>423</v>
      </c>
      <c r="F11" s="277"/>
      <c r="G11" s="277"/>
      <c r="H11" s="277"/>
    </row>
    <row r="12" spans="2:18">
      <c r="D12" s="424" t="s">
        <v>671</v>
      </c>
      <c r="E12" s="277" t="s">
        <v>29</v>
      </c>
      <c r="F12" s="424" t="s">
        <v>671</v>
      </c>
      <c r="G12" s="424" t="s">
        <v>671</v>
      </c>
      <c r="H12" s="424" t="s">
        <v>671</v>
      </c>
    </row>
    <row r="13" spans="2:18">
      <c r="D13" s="424" t="s">
        <v>671</v>
      </c>
      <c r="E13" s="277" t="s">
        <v>29</v>
      </c>
      <c r="F13" s="424" t="s">
        <v>671</v>
      </c>
      <c r="G13" s="424" t="s">
        <v>671</v>
      </c>
      <c r="H13" s="424" t="s">
        <v>671</v>
      </c>
      <c r="I13" s="261"/>
    </row>
    <row r="14" spans="2:18">
      <c r="C14" s="257"/>
      <c r="D14" s="424" t="s">
        <v>671</v>
      </c>
      <c r="E14" s="277" t="s">
        <v>29</v>
      </c>
      <c r="F14" s="424" t="s">
        <v>671</v>
      </c>
      <c r="G14" s="424" t="s">
        <v>671</v>
      </c>
      <c r="H14" s="424" t="s">
        <v>671</v>
      </c>
      <c r="I14" s="261"/>
    </row>
    <row r="15" spans="2:18">
      <c r="C15" s="257"/>
      <c r="D15" s="424" t="s">
        <v>671</v>
      </c>
      <c r="E15" s="277" t="s">
        <v>29</v>
      </c>
      <c r="F15" s="424" t="s">
        <v>671</v>
      </c>
      <c r="G15" s="424" t="s">
        <v>671</v>
      </c>
      <c r="H15" s="424" t="s">
        <v>671</v>
      </c>
      <c r="I15" s="261"/>
      <c r="R15" s="277"/>
    </row>
    <row r="16" spans="2:18">
      <c r="C16" s="257"/>
      <c r="D16" s="424" t="s">
        <v>671</v>
      </c>
      <c r="E16" s="277" t="s">
        <v>29</v>
      </c>
      <c r="F16" s="424" t="s">
        <v>671</v>
      </c>
      <c r="G16" s="424" t="s">
        <v>671</v>
      </c>
      <c r="H16" s="424" t="s">
        <v>671</v>
      </c>
      <c r="I16" s="261"/>
      <c r="R16" s="277"/>
    </row>
    <row r="17" spans="1:18">
      <c r="D17" s="424" t="s">
        <v>671</v>
      </c>
      <c r="E17" s="277" t="s">
        <v>29</v>
      </c>
      <c r="F17" s="424" t="s">
        <v>671</v>
      </c>
      <c r="G17" s="424" t="s">
        <v>671</v>
      </c>
      <c r="H17" s="424" t="s">
        <v>671</v>
      </c>
      <c r="I17" s="262"/>
      <c r="R17" s="277"/>
    </row>
    <row r="18" spans="1:18">
      <c r="D18" s="257"/>
      <c r="E18" s="257"/>
      <c r="F18" s="271"/>
      <c r="G18" s="272"/>
      <c r="H18" s="272"/>
      <c r="I18" s="264"/>
      <c r="J18" s="262"/>
      <c r="K18" s="291"/>
      <c r="L18" s="291"/>
      <c r="M18" s="291"/>
      <c r="N18" s="291"/>
      <c r="O18" s="291"/>
      <c r="P18" s="292"/>
      <c r="Q18" s="292"/>
      <c r="R18" s="294"/>
    </row>
    <row r="19" spans="1:18" s="265" customFormat="1">
      <c r="D19" s="320" t="s">
        <v>21</v>
      </c>
      <c r="E19" s="246"/>
      <c r="F19" s="246"/>
      <c r="G19" s="246"/>
      <c r="H19" s="246"/>
      <c r="I19" s="264"/>
      <c r="Q19" s="292"/>
      <c r="R19" s="293"/>
    </row>
    <row r="20" spans="1:18">
      <c r="A20" s="245"/>
      <c r="B20" s="245"/>
      <c r="D20" s="424" t="s">
        <v>671</v>
      </c>
      <c r="E20" s="277" t="s">
        <v>29</v>
      </c>
      <c r="F20" s="424" t="s">
        <v>671</v>
      </c>
      <c r="G20" s="424" t="s">
        <v>671</v>
      </c>
      <c r="H20" s="424" t="s">
        <v>671</v>
      </c>
      <c r="I20" s="266"/>
      <c r="Q20" s="268"/>
      <c r="R20" s="277"/>
    </row>
    <row r="21" spans="1:18">
      <c r="A21" s="245"/>
      <c r="B21" s="245"/>
      <c r="D21" s="424" t="s">
        <v>671</v>
      </c>
      <c r="E21" s="277" t="s">
        <v>29</v>
      </c>
      <c r="F21" s="424" t="s">
        <v>671</v>
      </c>
      <c r="G21" s="424" t="s">
        <v>671</v>
      </c>
      <c r="H21" s="424" t="s">
        <v>671</v>
      </c>
      <c r="I21" s="267"/>
      <c r="Q21" s="268"/>
      <c r="R21" s="277"/>
    </row>
    <row r="22" spans="1:18">
      <c r="A22" s="245"/>
      <c r="B22" s="245"/>
      <c r="D22" s="424" t="s">
        <v>671</v>
      </c>
      <c r="E22" s="277" t="s">
        <v>29</v>
      </c>
      <c r="F22" s="424" t="s">
        <v>671</v>
      </c>
      <c r="G22" s="424" t="s">
        <v>671</v>
      </c>
      <c r="H22" s="424" t="s">
        <v>671</v>
      </c>
      <c r="I22" s="268"/>
      <c r="Q22" s="268"/>
      <c r="R22" s="277"/>
    </row>
    <row r="23" spans="1:18">
      <c r="D23" s="424" t="s">
        <v>671</v>
      </c>
      <c r="E23" s="277" t="s">
        <v>29</v>
      </c>
      <c r="F23" s="424" t="s">
        <v>671</v>
      </c>
      <c r="G23" s="424" t="s">
        <v>671</v>
      </c>
      <c r="H23" s="424" t="s">
        <v>671</v>
      </c>
    </row>
    <row r="24" spans="1:18">
      <c r="D24" s="424" t="s">
        <v>671</v>
      </c>
      <c r="E24" s="277" t="s">
        <v>29</v>
      </c>
      <c r="F24" s="424" t="s">
        <v>671</v>
      </c>
      <c r="G24" s="424" t="s">
        <v>671</v>
      </c>
      <c r="H24" s="424" t="s">
        <v>671</v>
      </c>
    </row>
    <row r="25" spans="1:18">
      <c r="D25" s="424" t="s">
        <v>671</v>
      </c>
      <c r="E25" s="277" t="s">
        <v>29</v>
      </c>
      <c r="F25" s="424" t="s">
        <v>671</v>
      </c>
      <c r="G25" s="424" t="s">
        <v>671</v>
      </c>
      <c r="H25" s="424" t="s">
        <v>671</v>
      </c>
    </row>
    <row r="26" spans="1:18">
      <c r="E26" s="253"/>
      <c r="F26" s="273"/>
      <c r="G26" s="271"/>
      <c r="I26" s="254"/>
    </row>
    <row r="27" spans="1:18">
      <c r="D27" s="320" t="s">
        <v>22</v>
      </c>
      <c r="E27" s="246"/>
      <c r="F27" s="246"/>
      <c r="G27" s="246"/>
      <c r="H27" s="246"/>
      <c r="P27" s="296"/>
      <c r="R27" s="277"/>
    </row>
    <row r="28" spans="1:18">
      <c r="D28" s="424" t="s">
        <v>671</v>
      </c>
      <c r="E28" s="277" t="s">
        <v>29</v>
      </c>
      <c r="F28" s="424" t="s">
        <v>671</v>
      </c>
      <c r="G28" s="424" t="s">
        <v>671</v>
      </c>
      <c r="H28" s="424" t="s">
        <v>671</v>
      </c>
      <c r="P28" s="296"/>
      <c r="R28" s="277"/>
    </row>
    <row r="29" spans="1:18">
      <c r="D29" s="424" t="s">
        <v>671</v>
      </c>
      <c r="E29" s="277" t="s">
        <v>29</v>
      </c>
      <c r="F29" s="424" t="s">
        <v>671</v>
      </c>
      <c r="G29" s="424" t="s">
        <v>671</v>
      </c>
      <c r="H29" s="424" t="s">
        <v>671</v>
      </c>
      <c r="P29" s="296"/>
      <c r="R29" s="277"/>
    </row>
    <row r="30" spans="1:18">
      <c r="D30" s="424" t="s">
        <v>671</v>
      </c>
      <c r="E30" s="277" t="s">
        <v>29</v>
      </c>
      <c r="F30" s="424" t="s">
        <v>671</v>
      </c>
      <c r="G30" s="424" t="s">
        <v>671</v>
      </c>
      <c r="H30" s="424" t="s">
        <v>671</v>
      </c>
      <c r="K30" s="296"/>
      <c r="L30" s="296"/>
      <c r="M30" s="296"/>
      <c r="N30" s="296"/>
      <c r="O30" s="296"/>
      <c r="P30" s="296"/>
    </row>
    <row r="31" spans="1:18">
      <c r="D31" s="424" t="s">
        <v>671</v>
      </c>
      <c r="E31" s="277" t="s">
        <v>29</v>
      </c>
      <c r="F31" s="424" t="s">
        <v>671</v>
      </c>
      <c r="G31" s="424" t="s">
        <v>671</v>
      </c>
      <c r="H31" s="424" t="s">
        <v>671</v>
      </c>
    </row>
    <row r="32" spans="1:18">
      <c r="D32" s="424" t="s">
        <v>671</v>
      </c>
      <c r="E32" s="277" t="s">
        <v>29</v>
      </c>
      <c r="F32" s="424" t="s">
        <v>671</v>
      </c>
      <c r="G32" s="424" t="s">
        <v>671</v>
      </c>
      <c r="H32" s="424" t="s">
        <v>671</v>
      </c>
      <c r="R32" s="277"/>
    </row>
    <row r="33" spans="4:18">
      <c r="D33" s="424" t="s">
        <v>671</v>
      </c>
      <c r="E33" s="277" t="s">
        <v>29</v>
      </c>
      <c r="F33" s="424" t="s">
        <v>671</v>
      </c>
      <c r="G33" s="424" t="s">
        <v>671</v>
      </c>
      <c r="H33" s="424" t="s">
        <v>671</v>
      </c>
      <c r="R33" s="277"/>
    </row>
    <row r="34" spans="4:18">
      <c r="R34" s="277"/>
    </row>
    <row r="35" spans="4:18">
      <c r="D35" s="320" t="s">
        <v>326</v>
      </c>
      <c r="E35" s="320"/>
      <c r="F35" s="320"/>
      <c r="G35" s="320"/>
      <c r="H35" s="320"/>
    </row>
    <row r="36" spans="4:18">
      <c r="D36" s="424" t="s">
        <v>671</v>
      </c>
      <c r="E36" s="277" t="s">
        <v>29</v>
      </c>
      <c r="F36" s="424" t="s">
        <v>671</v>
      </c>
      <c r="G36" s="424" t="s">
        <v>671</v>
      </c>
      <c r="H36" s="424" t="s">
        <v>671</v>
      </c>
      <c r="J36" s="279"/>
      <c r="K36" s="279"/>
      <c r="L36" s="279"/>
    </row>
    <row r="37" spans="4:18">
      <c r="D37" s="424" t="s">
        <v>671</v>
      </c>
      <c r="E37" s="277" t="s">
        <v>29</v>
      </c>
      <c r="F37" s="424" t="s">
        <v>671</v>
      </c>
      <c r="G37" s="424" t="s">
        <v>671</v>
      </c>
      <c r="H37" s="424" t="s">
        <v>671</v>
      </c>
      <c r="J37" s="279"/>
      <c r="K37" s="279"/>
      <c r="L37" s="279"/>
    </row>
    <row r="38" spans="4:18">
      <c r="D38" s="424" t="s">
        <v>671</v>
      </c>
      <c r="E38" s="277" t="s">
        <v>29</v>
      </c>
      <c r="F38" s="424" t="s">
        <v>671</v>
      </c>
      <c r="G38" s="424" t="s">
        <v>671</v>
      </c>
      <c r="H38" s="424" t="s">
        <v>671</v>
      </c>
    </row>
    <row r="39" spans="4:18">
      <c r="D39" s="424" t="s">
        <v>671</v>
      </c>
      <c r="E39" s="277" t="s">
        <v>29</v>
      </c>
      <c r="F39" s="424" t="s">
        <v>671</v>
      </c>
      <c r="G39" s="424" t="s">
        <v>671</v>
      </c>
      <c r="H39" s="424" t="s">
        <v>671</v>
      </c>
    </row>
    <row r="40" spans="4:18">
      <c r="D40" s="424" t="s">
        <v>671</v>
      </c>
      <c r="E40" s="277" t="s">
        <v>29</v>
      </c>
      <c r="F40" s="424" t="s">
        <v>671</v>
      </c>
      <c r="G40" s="424" t="s">
        <v>671</v>
      </c>
      <c r="H40" s="424" t="s">
        <v>671</v>
      </c>
    </row>
    <row r="41" spans="4:18">
      <c r="D41" s="424" t="s">
        <v>671</v>
      </c>
      <c r="E41" s="277" t="s">
        <v>29</v>
      </c>
      <c r="F41" s="424" t="s">
        <v>671</v>
      </c>
      <c r="G41" s="424" t="s">
        <v>671</v>
      </c>
      <c r="H41" s="424" t="s">
        <v>671</v>
      </c>
    </row>
    <row r="42" spans="4:18">
      <c r="D42" s="277" t="s">
        <v>367</v>
      </c>
      <c r="E42" s="277" t="s">
        <v>29</v>
      </c>
      <c r="F42" s="450">
        <v>1.0872791147205854</v>
      </c>
      <c r="G42" s="450">
        <v>1.6306448664641202</v>
      </c>
      <c r="H42" s="450">
        <v>0.62720058710464788</v>
      </c>
      <c r="I42" s="277" t="s">
        <v>685</v>
      </c>
    </row>
    <row r="44" spans="4:18">
      <c r="D44" s="320" t="s">
        <v>327</v>
      </c>
      <c r="E44" s="320"/>
      <c r="F44" s="320"/>
      <c r="G44" s="320"/>
      <c r="H44" s="320"/>
    </row>
    <row r="45" spans="4:18">
      <c r="D45" s="424" t="s">
        <v>671</v>
      </c>
      <c r="E45" s="277" t="s">
        <v>29</v>
      </c>
      <c r="F45" s="424" t="s">
        <v>671</v>
      </c>
      <c r="G45" s="424" t="s">
        <v>671</v>
      </c>
      <c r="H45" s="424" t="s">
        <v>671</v>
      </c>
    </row>
    <row r="46" spans="4:18">
      <c r="D46" s="424" t="s">
        <v>671</v>
      </c>
      <c r="E46" s="277" t="s">
        <v>29</v>
      </c>
      <c r="F46" s="424" t="s">
        <v>671</v>
      </c>
      <c r="G46" s="424" t="s">
        <v>671</v>
      </c>
      <c r="H46" s="424" t="s">
        <v>671</v>
      </c>
    </row>
    <row r="47" spans="4:18">
      <c r="D47" s="424" t="s">
        <v>671</v>
      </c>
      <c r="E47" s="277" t="s">
        <v>29</v>
      </c>
      <c r="F47" s="424" t="s">
        <v>671</v>
      </c>
      <c r="G47" s="424" t="s">
        <v>671</v>
      </c>
      <c r="H47" s="424" t="s">
        <v>671</v>
      </c>
    </row>
    <row r="48" spans="4:18">
      <c r="D48" s="424" t="s">
        <v>671</v>
      </c>
      <c r="E48" s="277" t="s">
        <v>29</v>
      </c>
      <c r="F48" s="424" t="s">
        <v>671</v>
      </c>
      <c r="G48" s="424" t="s">
        <v>671</v>
      </c>
      <c r="H48" s="424" t="s">
        <v>671</v>
      </c>
    </row>
    <row r="49" spans="2:18">
      <c r="D49" s="424" t="s">
        <v>671</v>
      </c>
      <c r="E49" s="277" t="s">
        <v>29</v>
      </c>
      <c r="F49" s="424" t="s">
        <v>671</v>
      </c>
      <c r="G49" s="424" t="s">
        <v>671</v>
      </c>
      <c r="H49" s="424" t="s">
        <v>671</v>
      </c>
    </row>
    <row r="50" spans="2:18">
      <c r="D50" s="424" t="s">
        <v>671</v>
      </c>
      <c r="E50" s="277" t="s">
        <v>29</v>
      </c>
      <c r="F50" s="424" t="s">
        <v>671</v>
      </c>
      <c r="G50" s="424" t="s">
        <v>671</v>
      </c>
      <c r="H50" s="424" t="s">
        <v>671</v>
      </c>
    </row>
    <row r="51" spans="2:18">
      <c r="D51" s="277" t="s">
        <v>367</v>
      </c>
      <c r="E51" s="277" t="s">
        <v>29</v>
      </c>
      <c r="F51" s="450">
        <v>3.0273987509344236E-2</v>
      </c>
      <c r="G51" s="450">
        <v>3.3567423102833435E-2</v>
      </c>
      <c r="H51" s="450">
        <v>1.6412459720730396E-2</v>
      </c>
      <c r="I51" s="277" t="s">
        <v>685</v>
      </c>
    </row>
    <row r="52" spans="2:18">
      <c r="F52" s="295"/>
      <c r="G52" s="295"/>
      <c r="H52" s="295"/>
    </row>
    <row r="53" spans="2:18" s="259" customFormat="1">
      <c r="B53" s="259" t="s">
        <v>425</v>
      </c>
      <c r="D53" s="259" t="s">
        <v>19</v>
      </c>
      <c r="E53" s="259" t="s">
        <v>20</v>
      </c>
      <c r="F53" s="424" t="s">
        <v>671</v>
      </c>
      <c r="G53" s="424" t="s">
        <v>671</v>
      </c>
      <c r="H53" s="424" t="s">
        <v>671</v>
      </c>
      <c r="I53" s="424" t="s">
        <v>671</v>
      </c>
      <c r="J53" s="424" t="s">
        <v>671</v>
      </c>
      <c r="L53" s="259" t="s">
        <v>417</v>
      </c>
      <c r="R53" s="260"/>
    </row>
    <row r="54" spans="2:18">
      <c r="F54" s="295"/>
      <c r="G54" s="295"/>
      <c r="H54" s="295"/>
    </row>
    <row r="55" spans="2:18">
      <c r="D55" s="257" t="s">
        <v>368</v>
      </c>
      <c r="F55" s="277"/>
      <c r="G55" s="261"/>
      <c r="H55" s="261"/>
      <c r="I55" s="261"/>
    </row>
    <row r="56" spans="2:18">
      <c r="D56" s="261" t="s">
        <v>15</v>
      </c>
      <c r="E56" s="277" t="s">
        <v>29</v>
      </c>
      <c r="F56" s="424" t="s">
        <v>671</v>
      </c>
      <c r="G56" s="424" t="s">
        <v>671</v>
      </c>
      <c r="H56" s="424" t="s">
        <v>671</v>
      </c>
      <c r="I56" s="424" t="s">
        <v>671</v>
      </c>
      <c r="J56" s="424" t="s">
        <v>671</v>
      </c>
      <c r="K56" s="290"/>
      <c r="L56" s="424" t="s">
        <v>671</v>
      </c>
    </row>
    <row r="57" spans="2:18">
      <c r="D57" s="261" t="s">
        <v>16</v>
      </c>
      <c r="E57" s="277" t="s">
        <v>29</v>
      </c>
      <c r="F57" s="424" t="s">
        <v>671</v>
      </c>
      <c r="G57" s="424" t="s">
        <v>671</v>
      </c>
      <c r="H57" s="424" t="s">
        <v>671</v>
      </c>
      <c r="I57" s="424" t="s">
        <v>671</v>
      </c>
      <c r="J57" s="424" t="s">
        <v>671</v>
      </c>
      <c r="K57" s="290"/>
      <c r="L57" s="424" t="s">
        <v>671</v>
      </c>
    </row>
    <row r="58" spans="2:18">
      <c r="D58" s="261" t="s">
        <v>17</v>
      </c>
      <c r="E58" s="277" t="s">
        <v>29</v>
      </c>
      <c r="F58" s="424" t="s">
        <v>671</v>
      </c>
      <c r="G58" s="424" t="s">
        <v>671</v>
      </c>
      <c r="H58" s="424" t="s">
        <v>671</v>
      </c>
      <c r="I58" s="424" t="s">
        <v>671</v>
      </c>
      <c r="J58" s="424" t="s">
        <v>671</v>
      </c>
      <c r="K58" s="290"/>
      <c r="L58" s="424" t="s">
        <v>671</v>
      </c>
    </row>
    <row r="59" spans="2:18">
      <c r="F59" s="295"/>
      <c r="G59" s="295"/>
      <c r="H59" s="295"/>
    </row>
    <row r="60" spans="2:18">
      <c r="D60" s="321" t="s">
        <v>369</v>
      </c>
      <c r="E60" s="268"/>
      <c r="F60" s="268"/>
      <c r="G60" s="268"/>
      <c r="H60" s="268"/>
      <c r="I60" s="268"/>
      <c r="J60" s="292"/>
    </row>
    <row r="61" spans="2:18">
      <c r="D61" s="261" t="s">
        <v>15</v>
      </c>
      <c r="E61" s="277" t="s">
        <v>29</v>
      </c>
      <c r="F61" s="424" t="s">
        <v>671</v>
      </c>
      <c r="G61" s="424" t="s">
        <v>671</v>
      </c>
      <c r="H61" s="424" t="s">
        <v>671</v>
      </c>
      <c r="I61" s="424" t="s">
        <v>671</v>
      </c>
      <c r="J61" s="424" t="s">
        <v>671</v>
      </c>
      <c r="K61" s="290"/>
      <c r="L61" s="424" t="s">
        <v>671</v>
      </c>
    </row>
    <row r="62" spans="2:18">
      <c r="D62" s="261" t="s">
        <v>16</v>
      </c>
      <c r="E62" s="277" t="s">
        <v>29</v>
      </c>
      <c r="F62" s="424" t="s">
        <v>671</v>
      </c>
      <c r="G62" s="424" t="s">
        <v>671</v>
      </c>
      <c r="H62" s="424" t="s">
        <v>671</v>
      </c>
      <c r="I62" s="424" t="s">
        <v>671</v>
      </c>
      <c r="J62" s="424" t="s">
        <v>671</v>
      </c>
      <c r="K62" s="290"/>
      <c r="L62" s="424" t="s">
        <v>671</v>
      </c>
    </row>
    <row r="63" spans="2:18">
      <c r="D63" s="261" t="s">
        <v>17</v>
      </c>
      <c r="E63" s="277" t="s">
        <v>29</v>
      </c>
      <c r="F63" s="424" t="s">
        <v>671</v>
      </c>
      <c r="G63" s="424" t="s">
        <v>671</v>
      </c>
      <c r="H63" s="424" t="s">
        <v>671</v>
      </c>
      <c r="I63" s="424" t="s">
        <v>671</v>
      </c>
      <c r="J63" s="424" t="s">
        <v>671</v>
      </c>
      <c r="K63" s="290"/>
      <c r="L63" s="424" t="s">
        <v>671</v>
      </c>
    </row>
    <row r="64" spans="2:18">
      <c r="F64" s="295"/>
      <c r="G64" s="295"/>
      <c r="H64" s="295"/>
    </row>
    <row r="65" spans="2:18" s="259" customFormat="1">
      <c r="B65" s="259" t="s">
        <v>426</v>
      </c>
      <c r="D65" s="259" t="s">
        <v>19</v>
      </c>
      <c r="E65" s="259" t="s">
        <v>20</v>
      </c>
      <c r="F65" s="424" t="s">
        <v>671</v>
      </c>
      <c r="G65" s="424" t="s">
        <v>671</v>
      </c>
      <c r="H65" s="424" t="s">
        <v>671</v>
      </c>
      <c r="I65" s="424" t="s">
        <v>671</v>
      </c>
      <c r="J65" s="424" t="s">
        <v>671</v>
      </c>
      <c r="L65" s="259" t="s">
        <v>417</v>
      </c>
      <c r="R65" s="260"/>
    </row>
    <row r="66" spans="2:18">
      <c r="F66" s="295"/>
      <c r="G66" s="295"/>
      <c r="H66" s="295"/>
    </row>
    <row r="67" spans="2:18">
      <c r="D67" s="257" t="s">
        <v>370</v>
      </c>
      <c r="F67" s="295"/>
      <c r="G67" s="295"/>
      <c r="H67" s="295"/>
    </row>
    <row r="68" spans="2:18">
      <c r="D68" s="277" t="s">
        <v>348</v>
      </c>
      <c r="E68" s="277" t="s">
        <v>29</v>
      </c>
      <c r="F68" s="424" t="s">
        <v>671</v>
      </c>
      <c r="G68" s="424" t="s">
        <v>671</v>
      </c>
      <c r="H68" s="424" t="s">
        <v>671</v>
      </c>
      <c r="I68" s="424" t="s">
        <v>671</v>
      </c>
      <c r="J68" s="424" t="s">
        <v>671</v>
      </c>
      <c r="K68" s="290"/>
      <c r="L68" s="424" t="s">
        <v>671</v>
      </c>
    </row>
    <row r="69" spans="2:18">
      <c r="D69" s="277" t="s">
        <v>16</v>
      </c>
      <c r="E69" s="277" t="s">
        <v>29</v>
      </c>
      <c r="F69" s="424" t="s">
        <v>671</v>
      </c>
      <c r="G69" s="424" t="s">
        <v>671</v>
      </c>
      <c r="H69" s="424" t="s">
        <v>671</v>
      </c>
      <c r="I69" s="424" t="s">
        <v>671</v>
      </c>
      <c r="J69" s="424" t="s">
        <v>671</v>
      </c>
      <c r="K69" s="290"/>
      <c r="L69" s="424" t="s">
        <v>671</v>
      </c>
    </row>
    <row r="70" spans="2:18">
      <c r="D70" s="277" t="s">
        <v>17</v>
      </c>
      <c r="E70" s="277" t="s">
        <v>29</v>
      </c>
      <c r="F70" s="424" t="s">
        <v>671</v>
      </c>
      <c r="G70" s="424" t="s">
        <v>671</v>
      </c>
      <c r="H70" s="424" t="s">
        <v>671</v>
      </c>
      <c r="I70" s="424" t="s">
        <v>671</v>
      </c>
      <c r="J70" s="424" t="s">
        <v>671</v>
      </c>
      <c r="K70" s="290"/>
      <c r="L70" s="424" t="s">
        <v>671</v>
      </c>
    </row>
    <row r="71" spans="2:18">
      <c r="F71" s="296"/>
      <c r="G71" s="296"/>
      <c r="H71" s="296"/>
      <c r="I71" s="296"/>
      <c r="J71" s="296"/>
    </row>
    <row r="72" spans="2:18">
      <c r="D72" s="257" t="s">
        <v>371</v>
      </c>
      <c r="E72" s="296"/>
      <c r="F72" s="296"/>
      <c r="G72" s="296"/>
      <c r="H72" s="296"/>
      <c r="I72" s="296"/>
      <c r="J72" s="296"/>
    </row>
    <row r="73" spans="2:18">
      <c r="D73" s="277" t="s">
        <v>348</v>
      </c>
      <c r="E73" s="277" t="s">
        <v>29</v>
      </c>
      <c r="F73" s="424" t="s">
        <v>671</v>
      </c>
      <c r="G73" s="424" t="s">
        <v>671</v>
      </c>
      <c r="H73" s="424" t="s">
        <v>671</v>
      </c>
      <c r="I73" s="424" t="s">
        <v>671</v>
      </c>
      <c r="J73" s="424" t="s">
        <v>671</v>
      </c>
      <c r="K73" s="290"/>
      <c r="L73" s="424" t="s">
        <v>671</v>
      </c>
    </row>
    <row r="74" spans="2:18">
      <c r="D74" s="277" t="s">
        <v>16</v>
      </c>
      <c r="E74" s="277" t="s">
        <v>29</v>
      </c>
      <c r="F74" s="424" t="s">
        <v>671</v>
      </c>
      <c r="G74" s="424" t="s">
        <v>671</v>
      </c>
      <c r="H74" s="424" t="s">
        <v>671</v>
      </c>
      <c r="I74" s="424" t="s">
        <v>671</v>
      </c>
      <c r="J74" s="424" t="s">
        <v>671</v>
      </c>
      <c r="K74" s="290"/>
      <c r="L74" s="424" t="s">
        <v>671</v>
      </c>
    </row>
    <row r="75" spans="2:18">
      <c r="D75" s="277" t="s">
        <v>17</v>
      </c>
      <c r="E75" s="277" t="s">
        <v>29</v>
      </c>
      <c r="F75" s="424" t="s">
        <v>671</v>
      </c>
      <c r="G75" s="424" t="s">
        <v>671</v>
      </c>
      <c r="H75" s="424" t="s">
        <v>671</v>
      </c>
      <c r="I75" s="424" t="s">
        <v>671</v>
      </c>
      <c r="J75" s="424" t="s">
        <v>671</v>
      </c>
      <c r="K75" s="290"/>
      <c r="L75" s="424" t="s">
        <v>671</v>
      </c>
    </row>
    <row r="76" spans="2:18">
      <c r="F76" s="296"/>
      <c r="G76" s="296"/>
      <c r="H76" s="296"/>
      <c r="I76" s="296"/>
      <c r="J76" s="296"/>
      <c r="K76" s="296"/>
      <c r="L76" s="293"/>
    </row>
    <row r="77" spans="2:18" s="259" customFormat="1">
      <c r="B77" s="259" t="s">
        <v>427</v>
      </c>
      <c r="D77" s="259" t="s">
        <v>19</v>
      </c>
      <c r="E77" s="259" t="s">
        <v>20</v>
      </c>
      <c r="F77" s="252" t="s">
        <v>15</v>
      </c>
      <c r="G77" s="252" t="s">
        <v>16</v>
      </c>
      <c r="H77" s="252" t="s">
        <v>17</v>
      </c>
      <c r="I77" s="220"/>
      <c r="J77" s="220"/>
      <c r="R77" s="260"/>
    </row>
    <row r="78" spans="2:18">
      <c r="F78" s="296"/>
      <c r="G78" s="296"/>
      <c r="H78" s="296"/>
      <c r="I78" s="296"/>
      <c r="J78" s="296"/>
      <c r="K78" s="296"/>
      <c r="L78" s="293"/>
    </row>
    <row r="79" spans="2:18">
      <c r="D79" s="320" t="s">
        <v>326</v>
      </c>
      <c r="E79" s="320"/>
      <c r="F79" s="320"/>
      <c r="G79" s="320"/>
      <c r="H79" s="320"/>
      <c r="I79" s="296"/>
      <c r="J79" s="296"/>
      <c r="K79" s="296"/>
      <c r="L79" s="293"/>
    </row>
    <row r="80" spans="2:18">
      <c r="D80" s="277" t="s">
        <v>429</v>
      </c>
      <c r="E80" s="277" t="s">
        <v>29</v>
      </c>
      <c r="F80" s="450">
        <v>6.4621243702757042E-2</v>
      </c>
      <c r="G80" s="450">
        <v>7.0637937485699381E-2</v>
      </c>
      <c r="H80" s="450">
        <v>0.10606756782223288</v>
      </c>
      <c r="I80" s="277" t="s">
        <v>685</v>
      </c>
      <c r="J80" s="296"/>
      <c r="K80" s="296"/>
      <c r="L80" s="293"/>
    </row>
    <row r="81" spans="4:18">
      <c r="D81" s="277" t="s">
        <v>430</v>
      </c>
      <c r="E81" s="277" t="s">
        <v>29</v>
      </c>
      <c r="F81" s="450">
        <v>1.3842446011420837</v>
      </c>
      <c r="G81" s="450">
        <v>2.2937623961528106</v>
      </c>
      <c r="H81" s="450">
        <v>1.7125722774757755</v>
      </c>
      <c r="I81" s="277" t="s">
        <v>685</v>
      </c>
      <c r="J81" s="296"/>
      <c r="K81" s="296"/>
      <c r="L81" s="293"/>
    </row>
    <row r="82" spans="4:18">
      <c r="D82" s="277" t="s">
        <v>431</v>
      </c>
      <c r="E82" s="277" t="s">
        <v>29</v>
      </c>
      <c r="F82" s="424" t="s">
        <v>671</v>
      </c>
      <c r="G82" s="424" t="s">
        <v>671</v>
      </c>
      <c r="H82" s="424" t="s">
        <v>671</v>
      </c>
      <c r="I82" s="277" t="s">
        <v>685</v>
      </c>
      <c r="J82" s="296"/>
      <c r="K82" s="296"/>
      <c r="L82" s="293"/>
    </row>
    <row r="83" spans="4:18">
      <c r="D83" s="277" t="s">
        <v>367</v>
      </c>
      <c r="E83" s="277" t="s">
        <v>29</v>
      </c>
      <c r="F83" s="450">
        <v>1.0872791147205854</v>
      </c>
      <c r="G83" s="450">
        <v>1.6306448664641202</v>
      </c>
      <c r="H83" s="450">
        <v>0.62720058710464788</v>
      </c>
      <c r="I83" s="277" t="s">
        <v>685</v>
      </c>
      <c r="J83" s="296"/>
      <c r="K83" s="296"/>
      <c r="L83" s="293"/>
    </row>
    <row r="84" spans="4:18">
      <c r="I84" s="296"/>
      <c r="J84" s="296"/>
      <c r="K84" s="296"/>
      <c r="L84" s="293"/>
    </row>
    <row r="85" spans="4:18">
      <c r="D85" s="320" t="s">
        <v>327</v>
      </c>
      <c r="E85" s="320"/>
      <c r="F85" s="320"/>
      <c r="G85" s="320"/>
      <c r="H85" s="320"/>
      <c r="I85" s="296"/>
      <c r="J85" s="296"/>
      <c r="K85" s="296"/>
      <c r="L85" s="293"/>
    </row>
    <row r="86" spans="4:18">
      <c r="D86" s="277" t="s">
        <v>429</v>
      </c>
      <c r="E86" s="277" t="s">
        <v>29</v>
      </c>
      <c r="F86" s="450">
        <v>5.9226102429678448E-2</v>
      </c>
      <c r="G86" s="450">
        <v>0.1573989852571826</v>
      </c>
      <c r="H86" s="450">
        <v>0.24270605084138919</v>
      </c>
      <c r="I86" s="277" t="s">
        <v>685</v>
      </c>
      <c r="J86" s="296"/>
      <c r="K86" s="296"/>
      <c r="L86" s="293"/>
    </row>
    <row r="87" spans="4:18">
      <c r="D87" s="277" t="s">
        <v>430</v>
      </c>
      <c r="E87" s="277" t="s">
        <v>29</v>
      </c>
      <c r="F87" s="450">
        <v>6.3659147869674179E-2</v>
      </c>
      <c r="G87" s="450">
        <v>9.8486215538847122E-2</v>
      </c>
      <c r="H87" s="450">
        <v>0.37297529538131041</v>
      </c>
      <c r="I87" s="277" t="s">
        <v>685</v>
      </c>
      <c r="J87" s="296"/>
      <c r="K87" s="296"/>
      <c r="L87" s="293"/>
    </row>
    <row r="88" spans="4:18">
      <c r="D88" s="277" t="s">
        <v>431</v>
      </c>
      <c r="E88" s="277" t="s">
        <v>29</v>
      </c>
      <c r="F88" s="424" t="s">
        <v>671</v>
      </c>
      <c r="G88" s="424" t="s">
        <v>671</v>
      </c>
      <c r="H88" s="424" t="s">
        <v>671</v>
      </c>
      <c r="I88" s="277" t="s">
        <v>685</v>
      </c>
      <c r="J88" s="296"/>
      <c r="K88" s="296"/>
      <c r="L88" s="293"/>
    </row>
    <row r="89" spans="4:18">
      <c r="D89" s="277" t="s">
        <v>367</v>
      </c>
      <c r="E89" s="277" t="s">
        <v>29</v>
      </c>
      <c r="F89" s="450">
        <v>3.0273987509344236E-2</v>
      </c>
      <c r="G89" s="450">
        <v>3.3567423102833435E-2</v>
      </c>
      <c r="H89" s="450">
        <v>1.6412459720730396E-2</v>
      </c>
      <c r="I89" s="277" t="s">
        <v>685</v>
      </c>
      <c r="J89" s="296"/>
      <c r="K89" s="296"/>
      <c r="L89" s="293"/>
    </row>
    <row r="90" spans="4:18">
      <c r="F90" s="274"/>
      <c r="G90" s="274"/>
      <c r="H90" s="274"/>
      <c r="I90" s="296"/>
      <c r="J90" s="296"/>
      <c r="K90" s="296"/>
      <c r="L90" s="293"/>
    </row>
    <row r="91" spans="4:18" s="198" customFormat="1">
      <c r="R91" s="199"/>
    </row>
    <row r="92" spans="4:18">
      <c r="F92" s="295"/>
      <c r="G92" s="295"/>
      <c r="H92" s="295"/>
      <c r="I92" s="296"/>
      <c r="J92" s="296"/>
      <c r="K92" s="296"/>
      <c r="L92" s="293"/>
    </row>
    <row r="93" spans="4:18">
      <c r="D93" s="209"/>
      <c r="E93" s="371"/>
      <c r="F93" s="296"/>
      <c r="G93" s="296"/>
      <c r="H93" s="296"/>
      <c r="I93" s="296"/>
      <c r="J93" s="296"/>
      <c r="K93" s="296"/>
      <c r="L93" s="293"/>
    </row>
    <row r="94" spans="4:18">
      <c r="D94" s="209"/>
      <c r="E94" s="371"/>
      <c r="F94" s="296"/>
      <c r="G94" s="296"/>
      <c r="H94" s="296"/>
      <c r="I94" s="296"/>
      <c r="J94" s="296"/>
      <c r="K94" s="296"/>
      <c r="L94" s="293"/>
    </row>
    <row r="95" spans="4:18">
      <c r="D95" s="209"/>
      <c r="E95" s="371"/>
      <c r="F95" s="296"/>
      <c r="G95" s="296"/>
      <c r="H95" s="296"/>
      <c r="I95" s="296"/>
      <c r="J95" s="296"/>
      <c r="K95" s="296"/>
      <c r="L95" s="293"/>
    </row>
    <row r="96" spans="4:18">
      <c r="D96" s="209"/>
      <c r="E96" s="371"/>
      <c r="F96" s="296"/>
      <c r="G96" s="296"/>
      <c r="H96" s="296"/>
      <c r="I96" s="296"/>
      <c r="J96" s="296"/>
      <c r="K96" s="296"/>
      <c r="L96" s="293"/>
    </row>
    <row r="97" spans="4:12">
      <c r="D97" s="209"/>
      <c r="E97" s="371"/>
      <c r="F97" s="296"/>
      <c r="G97" s="296"/>
      <c r="H97" s="296"/>
      <c r="I97" s="296"/>
      <c r="J97" s="296"/>
      <c r="K97" s="296"/>
      <c r="L97" s="293"/>
    </row>
    <row r="98" spans="4:12">
      <c r="D98" s="209"/>
      <c r="E98" s="371"/>
      <c r="F98" s="296"/>
      <c r="G98" s="296"/>
      <c r="H98" s="296"/>
      <c r="I98" s="296"/>
      <c r="J98" s="296"/>
      <c r="K98" s="296"/>
      <c r="L98" s="293"/>
    </row>
    <row r="99" spans="4:12">
      <c r="D99" s="209"/>
      <c r="E99" s="371"/>
      <c r="F99" s="296"/>
      <c r="G99" s="296"/>
      <c r="H99" s="296"/>
      <c r="I99" s="296"/>
      <c r="J99" s="296"/>
      <c r="K99" s="296"/>
      <c r="L99" s="293"/>
    </row>
    <row r="100" spans="4:12">
      <c r="D100" s="209"/>
      <c r="E100" s="371"/>
      <c r="F100" s="296"/>
      <c r="G100" s="296"/>
      <c r="H100" s="296"/>
      <c r="I100" s="296"/>
      <c r="J100" s="296"/>
      <c r="K100" s="296"/>
      <c r="L100" s="293"/>
    </row>
    <row r="101" spans="4:12">
      <c r="D101" s="209"/>
      <c r="E101" s="371"/>
      <c r="F101" s="296"/>
      <c r="G101" s="296"/>
      <c r="H101" s="296"/>
      <c r="I101" s="296"/>
      <c r="J101" s="296"/>
      <c r="K101" s="296"/>
      <c r="L101" s="293"/>
    </row>
    <row r="102" spans="4:12">
      <c r="D102" s="209"/>
      <c r="E102" s="372"/>
      <c r="F102" s="296"/>
      <c r="G102" s="296"/>
      <c r="H102" s="296"/>
      <c r="I102" s="296"/>
      <c r="J102" s="296"/>
      <c r="K102" s="296"/>
      <c r="L102" s="293"/>
    </row>
    <row r="103" spans="4:12">
      <c r="D103" s="209"/>
      <c r="E103" s="209"/>
      <c r="F103" s="296"/>
      <c r="G103" s="296"/>
      <c r="H103" s="296"/>
      <c r="I103" s="296"/>
      <c r="J103" s="296"/>
      <c r="K103" s="296"/>
      <c r="L103" s="293"/>
    </row>
    <row r="104" spans="4:12">
      <c r="D104" s="209"/>
      <c r="E104" s="371"/>
      <c r="F104" s="296"/>
      <c r="G104" s="296"/>
      <c r="H104" s="296"/>
      <c r="I104" s="296"/>
      <c r="J104" s="296"/>
      <c r="K104" s="296"/>
      <c r="L104" s="293"/>
    </row>
    <row r="105" spans="4:12">
      <c r="D105" s="209"/>
      <c r="E105" s="372"/>
      <c r="F105" s="296"/>
      <c r="G105" s="296"/>
      <c r="H105" s="296"/>
      <c r="I105" s="296"/>
      <c r="J105" s="296"/>
      <c r="K105" s="296"/>
      <c r="L105" s="293"/>
    </row>
    <row r="106" spans="4:12">
      <c r="D106" s="209"/>
      <c r="E106" s="372"/>
      <c r="F106" s="296"/>
      <c r="G106" s="296"/>
      <c r="H106" s="296"/>
      <c r="I106" s="296"/>
      <c r="J106" s="296"/>
      <c r="K106" s="296"/>
      <c r="L106" s="293"/>
    </row>
    <row r="107" spans="4:12">
      <c r="F107" s="296"/>
      <c r="G107" s="296"/>
      <c r="H107" s="296"/>
      <c r="I107" s="296"/>
      <c r="J107" s="296"/>
      <c r="K107" s="296"/>
      <c r="L107" s="293"/>
    </row>
    <row r="108" spans="4:12">
      <c r="F108" s="296"/>
      <c r="G108" s="296"/>
      <c r="H108" s="296"/>
      <c r="I108" s="296"/>
      <c r="J108" s="296"/>
      <c r="K108" s="296"/>
      <c r="L108" s="293"/>
    </row>
    <row r="109" spans="4:12">
      <c r="F109" s="296"/>
      <c r="G109" s="296"/>
      <c r="H109" s="296"/>
      <c r="I109" s="296"/>
      <c r="J109" s="296"/>
      <c r="K109" s="296"/>
      <c r="L109" s="293"/>
    </row>
    <row r="110" spans="4:12">
      <c r="G110" s="276"/>
      <c r="H110" s="276"/>
    </row>
    <row r="111" spans="4:12">
      <c r="F111" s="277"/>
      <c r="G111" s="277"/>
      <c r="H111" s="277"/>
    </row>
    <row r="112" spans="4:12">
      <c r="F112" s="277"/>
      <c r="G112" s="277"/>
      <c r="H112" s="277"/>
    </row>
    <row r="113" spans="6:8">
      <c r="F113" s="277"/>
      <c r="G113" s="277"/>
      <c r="H113" s="277"/>
    </row>
    <row r="114" spans="6:8">
      <c r="F114" s="277"/>
      <c r="G114" s="277"/>
      <c r="H114" s="277"/>
    </row>
    <row r="115" spans="6:8">
      <c r="F115" s="277"/>
      <c r="G115" s="277"/>
      <c r="H115" s="277"/>
    </row>
    <row r="116" spans="6:8">
      <c r="F116" s="277"/>
      <c r="G116" s="277"/>
      <c r="H116" s="277"/>
    </row>
    <row r="117" spans="6:8">
      <c r="F117" s="277"/>
      <c r="G117" s="277"/>
      <c r="H117" s="277"/>
    </row>
    <row r="118" spans="6:8">
      <c r="F118" s="277"/>
      <c r="G118" s="277"/>
      <c r="H118" s="277"/>
    </row>
    <row r="119" spans="6:8">
      <c r="F119" s="277"/>
      <c r="G119" s="277"/>
      <c r="H119" s="277"/>
    </row>
    <row r="120" spans="6:8">
      <c r="F120" s="277"/>
      <c r="G120" s="277"/>
      <c r="H120" s="277"/>
    </row>
    <row r="121" spans="6:8">
      <c r="F121" s="277"/>
      <c r="G121" s="277"/>
      <c r="H121" s="277"/>
    </row>
    <row r="122" spans="6:8">
      <c r="F122" s="277"/>
      <c r="G122" s="277"/>
      <c r="H122" s="277"/>
    </row>
    <row r="123" spans="6:8">
      <c r="F123" s="277"/>
      <c r="G123" s="277"/>
      <c r="H123" s="277"/>
    </row>
    <row r="124" spans="6:8">
      <c r="F124" s="277"/>
      <c r="G124" s="277"/>
      <c r="H124" s="277"/>
    </row>
    <row r="125" spans="6:8">
      <c r="F125" s="277"/>
      <c r="G125" s="277"/>
      <c r="H125" s="277"/>
    </row>
    <row r="126" spans="6:8">
      <c r="F126" s="277"/>
      <c r="G126" s="277"/>
      <c r="H126" s="277"/>
    </row>
    <row r="127" spans="6:8">
      <c r="F127" s="277"/>
      <c r="G127" s="277"/>
      <c r="H127" s="277"/>
    </row>
    <row r="128" spans="6:8">
      <c r="F128" s="277"/>
      <c r="G128" s="277"/>
      <c r="H128" s="277"/>
    </row>
    <row r="129" spans="6:8">
      <c r="F129" s="277"/>
      <c r="G129" s="277"/>
      <c r="H129" s="277"/>
    </row>
    <row r="130" spans="6:8">
      <c r="F130" s="277"/>
      <c r="G130" s="277"/>
      <c r="H130" s="277"/>
    </row>
    <row r="131" spans="6:8">
      <c r="F131" s="277"/>
      <c r="G131" s="277"/>
      <c r="H131" s="277"/>
    </row>
    <row r="132" spans="6:8">
      <c r="F132" s="277"/>
      <c r="G132" s="277"/>
      <c r="H132" s="277"/>
    </row>
    <row r="133" spans="6:8">
      <c r="F133" s="277"/>
      <c r="G133" s="277"/>
      <c r="H133" s="277"/>
    </row>
    <row r="134" spans="6:8">
      <c r="F134" s="277"/>
      <c r="G134" s="277"/>
      <c r="H134" s="277"/>
    </row>
    <row r="135" spans="6:8">
      <c r="F135" s="277"/>
      <c r="G135" s="277"/>
      <c r="H135" s="277"/>
    </row>
    <row r="136" spans="6:8">
      <c r="F136" s="277"/>
      <c r="G136" s="277"/>
      <c r="H136" s="277"/>
    </row>
    <row r="137" spans="6:8">
      <c r="F137" s="277"/>
      <c r="G137" s="277"/>
      <c r="H137" s="277"/>
    </row>
    <row r="138" spans="6:8">
      <c r="F138" s="277"/>
      <c r="G138" s="277"/>
      <c r="H138" s="277"/>
    </row>
    <row r="139" spans="6:8">
      <c r="F139" s="277"/>
      <c r="G139" s="277"/>
      <c r="H139" s="277"/>
    </row>
    <row r="140" spans="6:8">
      <c r="F140" s="277"/>
      <c r="G140" s="277"/>
      <c r="H140" s="277"/>
    </row>
    <row r="141" spans="6:8">
      <c r="F141" s="277"/>
      <c r="G141" s="277"/>
      <c r="H141" s="277"/>
    </row>
    <row r="142" spans="6:8">
      <c r="F142" s="277"/>
      <c r="G142" s="277"/>
      <c r="H142" s="277"/>
    </row>
    <row r="143" spans="6:8">
      <c r="F143" s="277"/>
      <c r="G143" s="277"/>
      <c r="H143" s="277"/>
    </row>
    <row r="144" spans="6:8">
      <c r="F144" s="277"/>
      <c r="G144" s="277"/>
      <c r="H144" s="277"/>
    </row>
    <row r="145" spans="6:8">
      <c r="F145" s="277"/>
      <c r="G145" s="277"/>
      <c r="H145" s="277"/>
    </row>
    <row r="146" spans="6:8">
      <c r="F146" s="277"/>
      <c r="G146" s="277"/>
      <c r="H146" s="277"/>
    </row>
    <row r="147" spans="6:8">
      <c r="F147" s="277"/>
      <c r="G147" s="277"/>
      <c r="H147" s="277"/>
    </row>
    <row r="148" spans="6:8">
      <c r="F148" s="277"/>
      <c r="G148" s="277"/>
      <c r="H148" s="277"/>
    </row>
    <row r="149" spans="6:8">
      <c r="F149" s="277"/>
      <c r="G149" s="277"/>
      <c r="H149" s="277"/>
    </row>
    <row r="150" spans="6:8">
      <c r="F150" s="277"/>
      <c r="G150" s="277"/>
      <c r="H150" s="277"/>
    </row>
    <row r="151" spans="6:8">
      <c r="F151" s="277"/>
      <c r="G151" s="277"/>
      <c r="H151" s="277"/>
    </row>
    <row r="152" spans="6:8">
      <c r="F152" s="277"/>
      <c r="G152" s="277"/>
      <c r="H152" s="277"/>
    </row>
    <row r="153" spans="6:8">
      <c r="F153" s="277"/>
      <c r="G153" s="277"/>
      <c r="H153" s="277"/>
    </row>
    <row r="154" spans="6:8">
      <c r="F154" s="277"/>
      <c r="G154" s="277"/>
      <c r="H154" s="277"/>
    </row>
    <row r="155" spans="6:8">
      <c r="F155" s="277"/>
      <c r="G155" s="277"/>
      <c r="H155" s="277"/>
    </row>
    <row r="156" spans="6:8">
      <c r="F156" s="277"/>
      <c r="G156" s="277"/>
      <c r="H156" s="277"/>
    </row>
    <row r="157" spans="6:8">
      <c r="F157" s="277"/>
      <c r="G157" s="277"/>
      <c r="H157" s="277"/>
    </row>
    <row r="158" spans="6:8">
      <c r="F158" s="277"/>
      <c r="G158" s="277"/>
      <c r="H158" s="277"/>
    </row>
    <row r="159" spans="6:8">
      <c r="F159" s="277"/>
      <c r="G159" s="277"/>
      <c r="H159" s="277"/>
    </row>
    <row r="160" spans="6:8">
      <c r="F160" s="277"/>
      <c r="G160" s="277"/>
      <c r="H160" s="277"/>
    </row>
    <row r="161" spans="6:8">
      <c r="F161" s="277"/>
      <c r="G161" s="277"/>
      <c r="H161" s="277"/>
    </row>
    <row r="162" spans="6:8">
      <c r="F162" s="277"/>
      <c r="G162" s="277"/>
      <c r="H162" s="277"/>
    </row>
    <row r="163" spans="6:8">
      <c r="F163" s="277"/>
      <c r="G163" s="277"/>
      <c r="H163" s="277"/>
    </row>
    <row r="164" spans="6:8">
      <c r="F164" s="277"/>
      <c r="G164" s="277"/>
      <c r="H164" s="277"/>
    </row>
    <row r="165" spans="6:8">
      <c r="F165" s="277"/>
      <c r="G165" s="277"/>
      <c r="H165" s="277"/>
    </row>
    <row r="166" spans="6:8">
      <c r="F166" s="277"/>
      <c r="G166" s="277"/>
      <c r="H166" s="277"/>
    </row>
    <row r="167" spans="6:8">
      <c r="F167" s="277"/>
      <c r="G167" s="277"/>
      <c r="H167" s="277"/>
    </row>
    <row r="168" spans="6:8">
      <c r="F168" s="277"/>
      <c r="G168" s="277"/>
      <c r="H168" s="277"/>
    </row>
    <row r="170" spans="6:8">
      <c r="F170" s="277"/>
      <c r="G170" s="277"/>
      <c r="H170" s="277"/>
    </row>
    <row r="171" spans="6:8">
      <c r="F171" s="277"/>
      <c r="G171" s="277"/>
      <c r="H171" s="277"/>
    </row>
    <row r="172" spans="6:8">
      <c r="F172" s="277"/>
      <c r="G172" s="277"/>
      <c r="H172" s="277"/>
    </row>
    <row r="173" spans="6:8">
      <c r="F173" s="277"/>
      <c r="G173" s="277"/>
      <c r="H173" s="277"/>
    </row>
    <row r="174" spans="6:8">
      <c r="F174" s="277"/>
      <c r="G174" s="277"/>
      <c r="H174" s="277"/>
    </row>
    <row r="175" spans="6:8">
      <c r="F175" s="277"/>
    </row>
    <row r="176" spans="6:8">
      <c r="F176" s="277"/>
    </row>
    <row r="177" spans="4:6">
      <c r="F177" s="277"/>
    </row>
    <row r="178" spans="4:6">
      <c r="D178" s="247"/>
      <c r="E178" s="276"/>
      <c r="F178" s="276"/>
    </row>
    <row r="179" spans="4:6">
      <c r="D179" s="247"/>
      <c r="E179" s="276"/>
      <c r="F179" s="276"/>
    </row>
    <row r="180" spans="4:6">
      <c r="D180" s="247"/>
      <c r="E180" s="276"/>
      <c r="F180" s="276"/>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codeName="Sheet2">
    <tabColor rgb="FFFFFF00"/>
  </sheetPr>
  <dimension ref="A2:R74"/>
  <sheetViews>
    <sheetView showGridLines="0" zoomScale="85" zoomScaleNormal="85" workbookViewId="0">
      <selection activeCell="F18" sqref="F18"/>
    </sheetView>
  </sheetViews>
  <sheetFormatPr defaultColWidth="9.140625" defaultRowHeight="12.75"/>
  <cols>
    <col min="1" max="3" width="9.140625" style="277"/>
    <col min="4" max="4" width="41.42578125" style="277" customWidth="1"/>
    <col min="5" max="5" width="15.7109375" style="277" customWidth="1"/>
    <col min="6" max="6" width="20.42578125" style="277" customWidth="1"/>
    <col min="7" max="7" width="13.7109375" style="277" customWidth="1"/>
    <col min="8" max="8" width="14.7109375" style="277" customWidth="1"/>
    <col min="9" max="17" width="9.140625" style="277"/>
    <col min="18" max="18" width="50.7109375" style="278" customWidth="1"/>
    <col min="19" max="16384" width="9.140625" style="277"/>
  </cols>
  <sheetData>
    <row r="2" spans="2:18">
      <c r="B2" s="277" t="s">
        <v>0</v>
      </c>
      <c r="D2" s="257" t="str">
        <f ca="1">MID(CELL("filename",A1),FIND("]",CELL("filename",A1))+1,256)</f>
        <v>Industry - Mkt Size Inputs</v>
      </c>
      <c r="R2" s="277"/>
    </row>
    <row r="3" spans="2:18">
      <c r="B3" s="277" t="s">
        <v>1</v>
      </c>
      <c r="D3" s="277" t="s">
        <v>574</v>
      </c>
      <c r="R3" s="277"/>
    </row>
    <row r="5" spans="2:18" s="259" customFormat="1">
      <c r="D5" s="259" t="s">
        <v>19</v>
      </c>
      <c r="E5" s="259" t="s">
        <v>20</v>
      </c>
      <c r="H5" s="259" t="s">
        <v>634</v>
      </c>
      <c r="R5" s="260"/>
    </row>
    <row r="6" spans="2:18">
      <c r="G6" s="289"/>
      <c r="H6" s="289"/>
      <c r="I6" s="289"/>
      <c r="J6" s="289"/>
      <c r="K6" s="289"/>
      <c r="L6" s="289"/>
      <c r="M6" s="289"/>
      <c r="N6" s="289"/>
      <c r="O6" s="289"/>
      <c r="P6" s="289"/>
      <c r="Q6" s="289"/>
      <c r="R6" s="288"/>
    </row>
    <row r="7" spans="2:18">
      <c r="B7" s="257"/>
    </row>
    <row r="8" spans="2:18">
      <c r="C8" s="257" t="s">
        <v>443</v>
      </c>
    </row>
    <row r="9" spans="2:18">
      <c r="C9" s="257"/>
      <c r="D9" s="277" t="s">
        <v>344</v>
      </c>
      <c r="F9" s="275">
        <f>'Independent Mkt Size Inputs '!G57</f>
        <v>2101912.8889349443</v>
      </c>
      <c r="G9" s="276"/>
      <c r="H9" s="276"/>
    </row>
    <row r="10" spans="2:18">
      <c r="C10" s="257"/>
      <c r="D10" s="277" t="s">
        <v>345</v>
      </c>
      <c r="F10" s="275">
        <f>F9*'Independent Cost Inputs'!I76</f>
        <v>147133.9022254461</v>
      </c>
      <c r="G10" s="276"/>
      <c r="H10" s="276"/>
      <c r="I10" s="232"/>
      <c r="J10" s="261"/>
      <c r="K10" s="261"/>
      <c r="L10" s="261"/>
      <c r="M10" s="261"/>
      <c r="N10" s="261"/>
      <c r="O10" s="261"/>
      <c r="P10" s="261"/>
    </row>
    <row r="11" spans="2:18">
      <c r="C11" s="257"/>
      <c r="F11" s="247"/>
      <c r="G11" s="247"/>
      <c r="H11" s="247"/>
      <c r="I11" s="261"/>
      <c r="J11" s="261"/>
      <c r="K11" s="261"/>
      <c r="L11" s="261"/>
      <c r="M11" s="261"/>
      <c r="N11" s="261"/>
      <c r="O11" s="261"/>
      <c r="P11" s="261"/>
    </row>
    <row r="12" spans="2:18">
      <c r="C12" s="257" t="s">
        <v>445</v>
      </c>
      <c r="F12" s="247"/>
      <c r="G12" s="247"/>
      <c r="H12" s="247"/>
      <c r="I12" s="261"/>
      <c r="J12" s="261"/>
      <c r="K12" s="261"/>
      <c r="L12" s="261"/>
      <c r="M12" s="261"/>
      <c r="N12" s="261"/>
      <c r="O12" s="261"/>
      <c r="P12" s="261"/>
    </row>
    <row r="13" spans="2:18">
      <c r="C13" s="257"/>
      <c r="D13" s="424" t="s">
        <v>671</v>
      </c>
      <c r="E13" s="277" t="s">
        <v>61</v>
      </c>
      <c r="F13" s="424" t="s">
        <v>671</v>
      </c>
      <c r="G13" s="269"/>
      <c r="H13" s="247"/>
      <c r="I13" s="261"/>
      <c r="J13" s="261"/>
      <c r="K13" s="261"/>
      <c r="L13" s="261"/>
      <c r="M13" s="261"/>
      <c r="N13" s="261"/>
      <c r="O13" s="261"/>
      <c r="P13" s="261"/>
    </row>
    <row r="14" spans="2:18">
      <c r="C14" s="257"/>
      <c r="D14" s="424" t="s">
        <v>671</v>
      </c>
      <c r="E14" s="277" t="s">
        <v>61</v>
      </c>
      <c r="F14" s="424" t="s">
        <v>671</v>
      </c>
      <c r="H14" s="247"/>
      <c r="I14" s="261"/>
      <c r="J14" s="261"/>
      <c r="K14" s="261"/>
      <c r="L14" s="261"/>
      <c r="M14" s="261"/>
      <c r="N14" s="261"/>
      <c r="O14" s="261"/>
      <c r="P14" s="261"/>
    </row>
    <row r="15" spans="2:18">
      <c r="C15" s="257"/>
      <c r="D15" s="424" t="s">
        <v>671</v>
      </c>
      <c r="E15" s="277" t="s">
        <v>61</v>
      </c>
      <c r="F15" s="424" t="s">
        <v>671</v>
      </c>
      <c r="H15" s="247"/>
      <c r="I15" s="262"/>
      <c r="J15" s="262"/>
      <c r="K15" s="262"/>
      <c r="L15" s="262"/>
      <c r="M15" s="262"/>
      <c r="N15" s="262"/>
      <c r="O15" s="262"/>
      <c r="P15" s="262"/>
      <c r="R15" s="263"/>
    </row>
    <row r="16" spans="2:18">
      <c r="C16" s="257"/>
      <c r="D16" s="424" t="s">
        <v>671</v>
      </c>
      <c r="E16" s="277" t="s">
        <v>61</v>
      </c>
      <c r="F16" s="424" t="s">
        <v>671</v>
      </c>
      <c r="H16" s="247"/>
      <c r="I16" s="264"/>
      <c r="J16" s="264"/>
      <c r="K16" s="264"/>
      <c r="L16" s="264"/>
      <c r="M16" s="264"/>
      <c r="N16" s="264"/>
      <c r="O16" s="264"/>
      <c r="P16" s="264"/>
    </row>
    <row r="17" spans="1:18">
      <c r="C17" s="257"/>
      <c r="D17" s="277" t="s">
        <v>612</v>
      </c>
      <c r="E17" s="277" t="s">
        <v>61</v>
      </c>
      <c r="F17" s="424" t="s">
        <v>671</v>
      </c>
      <c r="H17" s="247"/>
      <c r="I17" s="264"/>
      <c r="J17" s="264"/>
      <c r="K17" s="264"/>
      <c r="L17" s="264"/>
      <c r="M17" s="264"/>
      <c r="N17" s="264"/>
      <c r="O17" s="264"/>
      <c r="P17" s="264"/>
    </row>
    <row r="18" spans="1:18">
      <c r="C18" s="257"/>
      <c r="D18" s="277" t="s">
        <v>36</v>
      </c>
      <c r="E18" s="277" t="s">
        <v>61</v>
      </c>
      <c r="F18" s="323">
        <v>22000000</v>
      </c>
      <c r="H18" s="367" t="s">
        <v>632</v>
      </c>
      <c r="I18" s="264"/>
      <c r="J18" s="264"/>
      <c r="K18" s="264"/>
      <c r="L18" s="264"/>
      <c r="M18" s="264"/>
      <c r="N18" s="264"/>
      <c r="O18" s="264"/>
      <c r="P18" s="264"/>
    </row>
    <row r="19" spans="1:18" s="265" customFormat="1">
      <c r="F19" s="39"/>
      <c r="G19" s="277"/>
      <c r="H19" s="247"/>
      <c r="I19" s="264"/>
      <c r="J19" s="264"/>
      <c r="K19" s="264"/>
      <c r="L19" s="264"/>
      <c r="M19" s="264"/>
      <c r="N19" s="264"/>
      <c r="O19" s="264"/>
      <c r="P19" s="264"/>
      <c r="Q19" s="277"/>
      <c r="R19" s="278"/>
    </row>
    <row r="20" spans="1:18">
      <c r="A20" s="287"/>
      <c r="B20" s="287"/>
      <c r="C20" s="257"/>
      <c r="D20" s="424" t="s">
        <v>671</v>
      </c>
      <c r="E20" s="324" t="s">
        <v>61</v>
      </c>
      <c r="F20" s="424" t="s">
        <v>671</v>
      </c>
      <c r="G20" s="269"/>
      <c r="H20" s="247"/>
      <c r="I20" s="266"/>
      <c r="J20" s="266"/>
      <c r="K20" s="266"/>
      <c r="L20" s="266"/>
      <c r="M20" s="266"/>
      <c r="N20" s="266"/>
      <c r="O20" s="266"/>
      <c r="P20" s="266"/>
    </row>
    <row r="21" spans="1:18">
      <c r="A21" s="287"/>
      <c r="B21" s="287"/>
      <c r="C21" s="257"/>
      <c r="D21" s="424" t="s">
        <v>671</v>
      </c>
      <c r="E21" s="277" t="s">
        <v>61</v>
      </c>
      <c r="F21" s="424" t="s">
        <v>671</v>
      </c>
      <c r="H21" s="247"/>
      <c r="I21" s="267"/>
      <c r="J21" s="267"/>
      <c r="K21" s="267"/>
      <c r="L21" s="267"/>
      <c r="M21" s="267"/>
      <c r="N21" s="267"/>
      <c r="O21" s="267"/>
      <c r="P21" s="267"/>
    </row>
    <row r="22" spans="1:18">
      <c r="A22" s="287"/>
      <c r="B22" s="287"/>
      <c r="C22" s="257"/>
      <c r="D22" s="424" t="s">
        <v>671</v>
      </c>
      <c r="E22" s="277" t="s">
        <v>61</v>
      </c>
      <c r="F22" s="424" t="s">
        <v>671</v>
      </c>
      <c r="H22" s="247"/>
      <c r="I22" s="268"/>
      <c r="J22" s="268"/>
      <c r="K22" s="268"/>
      <c r="L22" s="268"/>
      <c r="M22" s="268"/>
      <c r="N22" s="268"/>
      <c r="O22" s="268"/>
      <c r="P22" s="268"/>
    </row>
    <row r="23" spans="1:18">
      <c r="C23" s="257"/>
      <c r="D23" s="424" t="s">
        <v>671</v>
      </c>
      <c r="E23" s="277" t="s">
        <v>61</v>
      </c>
      <c r="F23" s="424" t="s">
        <v>671</v>
      </c>
      <c r="H23" s="247"/>
    </row>
    <row r="24" spans="1:18">
      <c r="C24" s="257"/>
      <c r="D24" s="277" t="s">
        <v>331</v>
      </c>
      <c r="E24" s="277" t="s">
        <v>61</v>
      </c>
      <c r="F24" s="316">
        <f>'Independent Cost Inputs'!I47</f>
        <v>300000</v>
      </c>
      <c r="G24" s="286"/>
      <c r="H24" s="247"/>
    </row>
    <row r="25" spans="1:18">
      <c r="C25" s="257"/>
      <c r="D25" s="277" t="s">
        <v>332</v>
      </c>
      <c r="E25" s="277" t="s">
        <v>61</v>
      </c>
      <c r="F25" s="316">
        <f>F24</f>
        <v>300000</v>
      </c>
      <c r="H25" s="247"/>
    </row>
    <row r="26" spans="1:18">
      <c r="C26" s="257"/>
      <c r="D26" s="277" t="s">
        <v>333</v>
      </c>
      <c r="E26" s="277" t="s">
        <v>61</v>
      </c>
      <c r="F26" s="316">
        <f t="shared" ref="F26:F29" si="0">F25</f>
        <v>300000</v>
      </c>
      <c r="H26" s="247"/>
      <c r="J26" s="282"/>
    </row>
    <row r="27" spans="1:18">
      <c r="C27" s="257"/>
      <c r="D27" s="277" t="s">
        <v>334</v>
      </c>
      <c r="E27" s="277" t="s">
        <v>61</v>
      </c>
      <c r="F27" s="316">
        <f t="shared" si="0"/>
        <v>300000</v>
      </c>
      <c r="H27" s="247"/>
    </row>
    <row r="28" spans="1:18">
      <c r="C28" s="257"/>
      <c r="D28" s="277" t="s">
        <v>335</v>
      </c>
      <c r="E28" s="277" t="s">
        <v>61</v>
      </c>
      <c r="F28" s="316">
        <f t="shared" si="0"/>
        <v>300000</v>
      </c>
      <c r="H28" s="247"/>
    </row>
    <row r="29" spans="1:18">
      <c r="C29" s="257"/>
      <c r="D29" s="277" t="s">
        <v>428</v>
      </c>
      <c r="E29" s="277" t="s">
        <v>61</v>
      </c>
      <c r="F29" s="316">
        <f t="shared" si="0"/>
        <v>300000</v>
      </c>
      <c r="H29" s="247"/>
    </row>
    <row r="30" spans="1:18">
      <c r="C30" s="257"/>
      <c r="D30" s="277" t="s">
        <v>612</v>
      </c>
      <c r="F30" s="424" t="s">
        <v>671</v>
      </c>
      <c r="H30" s="247"/>
    </row>
    <row r="31" spans="1:18">
      <c r="C31" s="257"/>
      <c r="D31" s="277" t="s">
        <v>36</v>
      </c>
      <c r="E31" s="277" t="s">
        <v>61</v>
      </c>
      <c r="F31" s="269">
        <v>3000000</v>
      </c>
      <c r="H31" s="247"/>
    </row>
    <row r="32" spans="1:18">
      <c r="H32" s="247"/>
    </row>
    <row r="33" spans="3:8">
      <c r="C33" s="257"/>
      <c r="D33" s="277" t="s">
        <v>325</v>
      </c>
      <c r="E33" s="324" t="s">
        <v>61</v>
      </c>
      <c r="F33" s="200">
        <f>'Independent Cost Inputs'!H47</f>
        <v>15000</v>
      </c>
      <c r="H33" s="367" t="s">
        <v>619</v>
      </c>
    </row>
    <row r="34" spans="3:8">
      <c r="C34" s="257"/>
      <c r="D34" s="277" t="s">
        <v>432</v>
      </c>
      <c r="E34" s="277" t="s">
        <v>61</v>
      </c>
      <c r="F34" s="200">
        <v>287</v>
      </c>
      <c r="H34" s="247"/>
    </row>
    <row r="35" spans="3:8">
      <c r="C35" s="257"/>
      <c r="D35" s="277" t="s">
        <v>36</v>
      </c>
      <c r="F35" s="269">
        <f>F33*F34</f>
        <v>4305000</v>
      </c>
      <c r="H35" s="367"/>
    </row>
    <row r="36" spans="3:8">
      <c r="F36" s="247"/>
      <c r="G36" s="247"/>
      <c r="H36" s="247"/>
    </row>
    <row r="37" spans="3:8">
      <c r="D37" s="277" t="s">
        <v>565</v>
      </c>
      <c r="F37" s="269">
        <f>F18+F31+F35</f>
        <v>29305000</v>
      </c>
    </row>
    <row r="38" spans="3:8">
      <c r="D38" s="277" t="s">
        <v>566</v>
      </c>
      <c r="F38" s="286">
        <f>'Independent Mkt Size Inputs '!G10*'Independent Cost Inputs'!H47+'Independent Mkt Size Inputs '!G11*'Independent Cost Inputs'!I47+'Independent Mkt Size Inputs '!G12*'Independent Cost Inputs'!J47</f>
        <v>29305000</v>
      </c>
    </row>
    <row r="39" spans="3:8">
      <c r="D39" s="277" t="s">
        <v>567</v>
      </c>
      <c r="F39" s="370">
        <f>'Independent Mkt Size Inputs '!G49</f>
        <v>29529360</v>
      </c>
      <c r="H39" s="277" t="s">
        <v>633</v>
      </c>
    </row>
    <row r="74" spans="6:8">
      <c r="F74" s="247"/>
      <c r="G74" s="247"/>
      <c r="H74" s="247"/>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codeName="Sheet1"/>
  <dimension ref="B2:S46"/>
  <sheetViews>
    <sheetView showGridLines="0" zoomScale="85" zoomScaleNormal="85" workbookViewId="0">
      <selection activeCell="G46" sqref="G46"/>
    </sheetView>
  </sheetViews>
  <sheetFormatPr defaultColWidth="9.140625" defaultRowHeight="12.75"/>
  <cols>
    <col min="1" max="2" width="9.140625" style="277"/>
    <col min="3" max="3" width="27.5703125" style="277" customWidth="1"/>
    <col min="4" max="4" width="28.140625" style="277" customWidth="1"/>
    <col min="5" max="5" width="15.7109375" style="277" customWidth="1"/>
    <col min="6" max="6" width="12.7109375" style="277" customWidth="1"/>
    <col min="7" max="13" width="12.28515625" style="277" customWidth="1"/>
    <col min="14" max="17" width="9.140625" style="277"/>
    <col min="18" max="18" width="50.7109375" style="278" customWidth="1"/>
    <col min="19" max="16384" width="9.140625" style="277"/>
  </cols>
  <sheetData>
    <row r="2" spans="2:19">
      <c r="B2" s="277" t="s">
        <v>0</v>
      </c>
      <c r="D2" s="257" t="str">
        <f ca="1">MID(CELL("filename",A1),FIND("]",CELL("filename",A1))+1,256)</f>
        <v>Industry Model Outputs</v>
      </c>
      <c r="R2" s="277"/>
    </row>
    <row r="3" spans="2:19">
      <c r="B3" s="277" t="s">
        <v>1</v>
      </c>
      <c r="D3" s="277" t="s">
        <v>224</v>
      </c>
      <c r="R3" s="277"/>
    </row>
    <row r="5" spans="2:19" s="198" customFormat="1" hidden="1">
      <c r="L5" s="199"/>
      <c r="S5" s="199"/>
    </row>
    <row r="6" spans="2:19" s="265" customFormat="1" hidden="1">
      <c r="S6" s="263"/>
    </row>
    <row r="7" spans="2:19" s="265" customFormat="1" hidden="1">
      <c r="D7" s="198"/>
      <c r="G7" s="421"/>
      <c r="H7" s="421"/>
      <c r="I7" s="421"/>
      <c r="S7" s="263"/>
    </row>
    <row r="8" spans="2:19" s="265" customFormat="1" hidden="1">
      <c r="D8" s="198"/>
      <c r="G8" s="422"/>
      <c r="H8" s="422"/>
      <c r="I8" s="422"/>
      <c r="S8" s="263"/>
    </row>
    <row r="9" spans="2:19">
      <c r="R9" s="277"/>
      <c r="S9" s="278"/>
    </row>
    <row r="10" spans="2:19" s="259" customFormat="1">
      <c r="B10" s="259" t="s">
        <v>444</v>
      </c>
    </row>
    <row r="11" spans="2:19">
      <c r="D11" s="277" t="s">
        <v>328</v>
      </c>
      <c r="E11" s="277" t="s">
        <v>61</v>
      </c>
      <c r="F11" s="280">
        <f>'Industry - Mkt Size Inputs'!F35</f>
        <v>4305000</v>
      </c>
      <c r="G11" s="247"/>
      <c r="H11" s="247"/>
    </row>
    <row r="12" spans="2:19">
      <c r="D12" s="277" t="s">
        <v>329</v>
      </c>
      <c r="E12" s="277" t="s">
        <v>61</v>
      </c>
      <c r="F12" s="276">
        <f>'Industry - Mkt Size Inputs'!F31</f>
        <v>3000000</v>
      </c>
      <c r="G12" s="247"/>
      <c r="H12" s="247"/>
    </row>
    <row r="13" spans="2:19">
      <c r="D13" s="277" t="s">
        <v>330</v>
      </c>
      <c r="E13" s="277" t="s">
        <v>61</v>
      </c>
      <c r="F13" s="276">
        <f>'Industry - Mkt Size Inputs'!F18</f>
        <v>22000000</v>
      </c>
      <c r="G13" s="247"/>
      <c r="H13" s="247"/>
    </row>
    <row r="14" spans="2:19">
      <c r="D14" s="277" t="s">
        <v>372</v>
      </c>
      <c r="E14" s="277" t="s">
        <v>61</v>
      </c>
      <c r="F14" s="449">
        <v>1750325.5</v>
      </c>
      <c r="G14" s="247"/>
      <c r="H14" s="247"/>
      <c r="J14" s="277" t="s">
        <v>685</v>
      </c>
    </row>
    <row r="15" spans="2:19">
      <c r="D15" s="277" t="s">
        <v>36</v>
      </c>
      <c r="E15" s="277" t="s">
        <v>61</v>
      </c>
      <c r="F15" s="276">
        <f>SUM(F11:F13)</f>
        <v>29305000</v>
      </c>
      <c r="G15" s="247"/>
      <c r="H15" s="247"/>
    </row>
    <row r="16" spans="2:19">
      <c r="F16" s="276"/>
      <c r="G16" s="247"/>
      <c r="H16" s="247"/>
    </row>
    <row r="17" spans="2:18" s="259" customFormat="1">
      <c r="B17" s="259" t="s">
        <v>433</v>
      </c>
      <c r="D17" s="259" t="s">
        <v>19</v>
      </c>
      <c r="E17" s="259" t="s">
        <v>20</v>
      </c>
      <c r="F17" s="252" t="s">
        <v>15</v>
      </c>
      <c r="G17" s="252" t="s">
        <v>16</v>
      </c>
      <c r="H17" s="252" t="s">
        <v>17</v>
      </c>
      <c r="R17" s="260"/>
    </row>
    <row r="18" spans="2:18">
      <c r="F18" s="247"/>
      <c r="G18" s="247"/>
      <c r="H18" s="247"/>
    </row>
    <row r="19" spans="2:18">
      <c r="D19" s="277" t="s">
        <v>336</v>
      </c>
      <c r="E19" s="277" t="s">
        <v>29</v>
      </c>
      <c r="F19" s="280">
        <f>$F11*'Industry Per CP Per Cust Costs'!F80</f>
        <v>278194.45414036908</v>
      </c>
      <c r="G19" s="280">
        <f>$F11*'Industry Per CP Per Cust Costs'!G80</f>
        <v>304096.32087593584</v>
      </c>
      <c r="H19" s="280">
        <f>$F11*'Industry Per CP Per Cust Costs'!H80</f>
        <v>456620.87947471254</v>
      </c>
    </row>
    <row r="20" spans="2:18">
      <c r="D20" s="277" t="s">
        <v>337</v>
      </c>
      <c r="E20" s="277" t="s">
        <v>29</v>
      </c>
      <c r="F20" s="280">
        <f>$F12*'Industry Per CP Per Cust Costs'!F81</f>
        <v>4152733.8034262513</v>
      </c>
      <c r="G20" s="280">
        <f>$F12*'Industry Per CP Per Cust Costs'!G81</f>
        <v>6881287.1884584315</v>
      </c>
      <c r="H20" s="280">
        <f>$F12*'Industry Per CP Per Cust Costs'!H81</f>
        <v>5137716.8324273266</v>
      </c>
    </row>
    <row r="21" spans="2:18">
      <c r="D21" s="277" t="s">
        <v>338</v>
      </c>
      <c r="E21" s="277" t="s">
        <v>29</v>
      </c>
      <c r="F21" s="424" t="s">
        <v>671</v>
      </c>
      <c r="G21" s="424" t="s">
        <v>671</v>
      </c>
      <c r="H21" s="424" t="s">
        <v>671</v>
      </c>
    </row>
    <row r="22" spans="2:18">
      <c r="D22" s="277" t="s">
        <v>373</v>
      </c>
      <c r="E22" s="277" t="s">
        <v>29</v>
      </c>
      <c r="F22" s="280">
        <f>$F14*'Industry Per CP Per Cust Costs'!F83</f>
        <v>1903092.3601128659</v>
      </c>
      <c r="G22" s="280">
        <f>$F14*'Industry Per CP Per Cust Costs'!G83</f>
        <v>2854159.2912162445</v>
      </c>
      <c r="H22" s="280">
        <f>$F14*'Industry Per CP Per Cust Costs'!H83</f>
        <v>1097805.1812242363</v>
      </c>
    </row>
    <row r="23" spans="2:18">
      <c r="D23" s="277" t="s">
        <v>672</v>
      </c>
      <c r="E23" s="277" t="s">
        <v>29</v>
      </c>
      <c r="F23" s="424" t="s">
        <v>671</v>
      </c>
      <c r="G23" s="424" t="s">
        <v>671</v>
      </c>
      <c r="H23" s="424" t="s">
        <v>671</v>
      </c>
    </row>
    <row r="24" spans="2:18">
      <c r="D24" s="277" t="s">
        <v>672</v>
      </c>
      <c r="E24" s="277" t="s">
        <v>29</v>
      </c>
      <c r="F24" s="424" t="s">
        <v>671</v>
      </c>
      <c r="G24" s="424" t="s">
        <v>671</v>
      </c>
      <c r="H24" s="424" t="s">
        <v>671</v>
      </c>
    </row>
    <row r="25" spans="2:18">
      <c r="D25" s="277" t="s">
        <v>672</v>
      </c>
      <c r="E25" s="277" t="s">
        <v>29</v>
      </c>
      <c r="F25" s="424" t="s">
        <v>671</v>
      </c>
      <c r="G25" s="424" t="s">
        <v>671</v>
      </c>
      <c r="H25" s="424" t="s">
        <v>671</v>
      </c>
    </row>
    <row r="26" spans="2:18">
      <c r="F26" s="247"/>
      <c r="G26" s="247"/>
      <c r="H26" s="247"/>
    </row>
    <row r="27" spans="2:18">
      <c r="D27" s="277" t="s">
        <v>164</v>
      </c>
      <c r="E27" s="277" t="s">
        <v>29</v>
      </c>
      <c r="F27" s="449">
        <v>33300968.493274555</v>
      </c>
      <c r="G27" s="449">
        <v>37281437.94474794</v>
      </c>
      <c r="H27" s="449">
        <v>27136472.402289465</v>
      </c>
      <c r="J27" s="277" t="s">
        <v>685</v>
      </c>
    </row>
    <row r="28" spans="2:18">
      <c r="D28" s="277" t="s">
        <v>166</v>
      </c>
      <c r="E28" s="277" t="s">
        <v>29</v>
      </c>
      <c r="F28" s="280">
        <f>'Independent Model Outputs'!H69</f>
        <v>1940000</v>
      </c>
      <c r="G28" s="280">
        <f>'Independent Model Outputs'!H75</f>
        <v>1565000</v>
      </c>
      <c r="H28" s="280">
        <f>'Independent Model Outputs'!H93</f>
        <v>365000</v>
      </c>
      <c r="I28" s="282"/>
      <c r="J28" s="282"/>
      <c r="K28" s="282"/>
    </row>
    <row r="29" spans="2:18">
      <c r="F29" s="247"/>
      <c r="G29" s="247"/>
      <c r="H29" s="247"/>
    </row>
    <row r="30" spans="2:18">
      <c r="D30" s="257" t="s">
        <v>346</v>
      </c>
      <c r="E30" s="277" t="s">
        <v>29</v>
      </c>
      <c r="F30" s="276">
        <f>SUM(F27:F28)</f>
        <v>35240968.493274555</v>
      </c>
      <c r="G30" s="276">
        <f>SUM(G27:G28)</f>
        <v>38846437.94474794</v>
      </c>
      <c r="H30" s="276">
        <f>SUM(H27:H28)</f>
        <v>27501472.402289465</v>
      </c>
    </row>
    <row r="31" spans="2:18">
      <c r="D31" s="257"/>
      <c r="F31" s="276"/>
      <c r="G31" s="276"/>
      <c r="H31" s="276"/>
    </row>
    <row r="32" spans="2:18" s="259" customFormat="1">
      <c r="B32" s="259" t="s">
        <v>434</v>
      </c>
      <c r="D32" s="259" t="s">
        <v>19</v>
      </c>
      <c r="E32" s="259" t="s">
        <v>20</v>
      </c>
      <c r="F32" s="252" t="s">
        <v>15</v>
      </c>
      <c r="G32" s="252" t="s">
        <v>16</v>
      </c>
      <c r="H32" s="252" t="s">
        <v>17</v>
      </c>
      <c r="R32" s="260"/>
    </row>
    <row r="34" spans="4:11">
      <c r="D34" s="277" t="s">
        <v>339</v>
      </c>
      <c r="E34" s="277" t="s">
        <v>29</v>
      </c>
      <c r="F34" s="280">
        <f>'Industry Per CP Per Cust Costs'!F86*$F11</f>
        <v>254968.37095976571</v>
      </c>
      <c r="G34" s="280">
        <f>'Industry Per CP Per Cust Costs'!G86*$F11</f>
        <v>677602.63153217104</v>
      </c>
      <c r="H34" s="280">
        <f>'Industry Per CP Per Cust Costs'!H86*$F11</f>
        <v>1044849.5488721804</v>
      </c>
    </row>
    <row r="35" spans="4:11">
      <c r="D35" s="277" t="s">
        <v>340</v>
      </c>
      <c r="E35" s="277" t="s">
        <v>29</v>
      </c>
      <c r="F35" s="280">
        <f>'Industry Per CP Per Cust Costs'!F87*$F12</f>
        <v>190977.44360902254</v>
      </c>
      <c r="G35" s="280">
        <f>'Industry Per CP Per Cust Costs'!G87*$F12</f>
        <v>295458.64661654137</v>
      </c>
      <c r="H35" s="280">
        <f>'Industry Per CP Per Cust Costs'!H87*$F12</f>
        <v>1118925.8861439312</v>
      </c>
    </row>
    <row r="36" spans="4:11">
      <c r="D36" s="277" t="s">
        <v>341</v>
      </c>
      <c r="E36" s="277" t="s">
        <v>29</v>
      </c>
      <c r="F36" s="424" t="s">
        <v>671</v>
      </c>
      <c r="G36" s="424" t="s">
        <v>671</v>
      </c>
      <c r="H36" s="424" t="s">
        <v>671</v>
      </c>
    </row>
    <row r="37" spans="4:11">
      <c r="D37" s="277" t="s">
        <v>374</v>
      </c>
      <c r="E37" s="277" t="s">
        <v>29</v>
      </c>
      <c r="F37" s="280">
        <f>'Industry Per CP Per Cust Costs'!F51*$F14</f>
        <v>52989.332324286705</v>
      </c>
      <c r="G37" s="280">
        <f>'Industry Per CP Per Cust Costs'!G51*$F14</f>
        <v>58753.916626178485</v>
      </c>
      <c r="H37" s="280">
        <f>'Industry Per CP Per Cust Costs'!H51*$F14</f>
        <v>28727.146766917293</v>
      </c>
    </row>
    <row r="38" spans="4:11">
      <c r="D38" s="277" t="s">
        <v>673</v>
      </c>
      <c r="E38" s="277" t="s">
        <v>29</v>
      </c>
      <c r="F38" s="424" t="s">
        <v>671</v>
      </c>
      <c r="G38" s="424" t="s">
        <v>671</v>
      </c>
      <c r="H38" s="424" t="s">
        <v>671</v>
      </c>
    </row>
    <row r="39" spans="4:11">
      <c r="D39" s="277" t="s">
        <v>673</v>
      </c>
      <c r="E39" s="277" t="s">
        <v>29</v>
      </c>
      <c r="F39" s="424" t="s">
        <v>671</v>
      </c>
      <c r="G39" s="424" t="s">
        <v>671</v>
      </c>
      <c r="H39" s="424" t="s">
        <v>671</v>
      </c>
    </row>
    <row r="40" spans="4:11">
      <c r="D40" s="277" t="s">
        <v>673</v>
      </c>
      <c r="E40" s="277" t="s">
        <v>29</v>
      </c>
      <c r="F40" s="424" t="s">
        <v>671</v>
      </c>
      <c r="G40" s="424" t="s">
        <v>671</v>
      </c>
      <c r="H40" s="424" t="s">
        <v>671</v>
      </c>
    </row>
    <row r="41" spans="4:11">
      <c r="D41" s="277" t="s">
        <v>342</v>
      </c>
      <c r="E41" s="277" t="s">
        <v>29</v>
      </c>
      <c r="F41" s="247"/>
      <c r="G41" s="276">
        <f ca="1">(('Industry - Mkt Size Inputs'!F9*'Independent Cost Inputs'!I92)*(1-OnlineSalesPc))+('Industry - Mkt Size Inputs'!F9*OnlineSalesPc*'Independent Cost Inputs'!G93)+('Industry - Mkt Size Inputs'!F10*'Independent Cost Inputs'!I95)</f>
        <v>4909227.7433964564</v>
      </c>
      <c r="H41" s="247"/>
      <c r="J41" s="282"/>
    </row>
    <row r="42" spans="4:11">
      <c r="F42" s="247"/>
      <c r="G42" s="247"/>
      <c r="H42" s="247"/>
    </row>
    <row r="43" spans="4:11">
      <c r="D43" s="277" t="s">
        <v>165</v>
      </c>
      <c r="E43" s="277" t="s">
        <v>29</v>
      </c>
      <c r="F43" s="449">
        <v>3465688.2138400753</v>
      </c>
      <c r="G43" s="449">
        <v>13339150.285190277</v>
      </c>
      <c r="H43" s="449">
        <v>4215835.9151163623</v>
      </c>
      <c r="J43" s="277" t="s">
        <v>685</v>
      </c>
    </row>
    <row r="44" spans="4:11">
      <c r="D44" s="277" t="s">
        <v>167</v>
      </c>
      <c r="E44" s="277" t="s">
        <v>29</v>
      </c>
      <c r="F44" s="276">
        <f ca="1">'Independent Model Outputs'!G39</f>
        <v>1055000</v>
      </c>
      <c r="G44" s="276">
        <f ca="1">'Independent Model Outputs'!H39</f>
        <v>890000</v>
      </c>
      <c r="H44" s="276">
        <f ca="1">'Independent Model Outputs'!K39</f>
        <v>500000</v>
      </c>
      <c r="I44" s="282"/>
      <c r="J44" s="282"/>
      <c r="K44" s="282"/>
    </row>
    <row r="45" spans="4:11">
      <c r="F45" s="247"/>
      <c r="G45" s="247"/>
      <c r="H45" s="247"/>
    </row>
    <row r="46" spans="4:11">
      <c r="D46" s="257" t="s">
        <v>343</v>
      </c>
      <c r="E46" s="277" t="s">
        <v>29</v>
      </c>
      <c r="F46" s="276">
        <f ca="1">SUM(F43:F44)</f>
        <v>4520688.2138400748</v>
      </c>
      <c r="G46" s="276">
        <f ca="1">SUM(G43:G44)</f>
        <v>14229150.285190277</v>
      </c>
      <c r="H46" s="276">
        <f ca="1">SUM(H43:H44)</f>
        <v>4715835.9151163623</v>
      </c>
    </row>
  </sheetData>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sheetPr codeName="Sheet13">
    <tabColor rgb="FFFFFF00"/>
  </sheetPr>
  <dimension ref="A2:R353"/>
  <sheetViews>
    <sheetView showGridLines="0" zoomScale="55" zoomScaleNormal="55" workbookViewId="0">
      <selection activeCell="M19" sqref="M19"/>
    </sheetView>
  </sheetViews>
  <sheetFormatPr defaultColWidth="9.140625" defaultRowHeight="15"/>
  <cols>
    <col min="1" max="2" width="9.140625" style="180"/>
    <col min="3" max="3" width="41.5703125" style="180" customWidth="1"/>
    <col min="4" max="4" width="11.42578125" style="180" customWidth="1"/>
    <col min="5" max="5" width="7" style="180" customWidth="1"/>
    <col min="6" max="6" width="8.85546875"/>
    <col min="7" max="7" width="12.5703125" style="180" customWidth="1"/>
    <col min="8" max="8" width="13.7109375" style="180" customWidth="1"/>
    <col min="9" max="9" width="11.28515625" style="180" bestFit="1" customWidth="1"/>
    <col min="10" max="10" width="10.140625" style="180" bestFit="1" customWidth="1"/>
    <col min="11" max="11" width="9.140625" style="180"/>
    <col min="12" max="12" width="14.7109375" customWidth="1"/>
    <col min="13" max="13" width="16.5703125" style="284" customWidth="1"/>
    <col min="14" max="14" width="19.7109375" style="277" customWidth="1"/>
    <col min="15" max="18" width="8.85546875" customWidth="1"/>
    <col min="19" max="16384" width="9.140625" style="180"/>
  </cols>
  <sheetData>
    <row r="2" spans="2:18" ht="12.75">
      <c r="B2" s="180" t="s">
        <v>0</v>
      </c>
      <c r="D2" s="181" t="str">
        <f ca="1">MID(CELL("filename",A1),FIND("]",CELL("filename",A1))+1,256)</f>
        <v>Industry Cost Inputs - Original</v>
      </c>
      <c r="F2" s="180"/>
      <c r="L2" s="180"/>
      <c r="M2" s="247"/>
      <c r="O2" s="180"/>
      <c r="P2" s="180"/>
      <c r="Q2" s="180"/>
      <c r="R2" s="180"/>
    </row>
    <row r="3" spans="2:18" ht="12.75">
      <c r="B3" s="180" t="s">
        <v>1</v>
      </c>
      <c r="F3" s="180"/>
      <c r="L3" s="180"/>
      <c r="M3" s="247"/>
      <c r="O3" s="180"/>
      <c r="P3" s="180"/>
      <c r="Q3" s="180"/>
      <c r="R3" s="180"/>
    </row>
    <row r="5" spans="2:18" s="156" customFormat="1" ht="12.75">
      <c r="B5" s="259" t="s">
        <v>172</v>
      </c>
      <c r="F5" s="156" t="s">
        <v>419</v>
      </c>
      <c r="G5" s="424" t="s">
        <v>671</v>
      </c>
      <c r="H5" s="424" t="s">
        <v>671</v>
      </c>
      <c r="I5" s="424" t="s">
        <v>671</v>
      </c>
      <c r="J5" s="424" t="s">
        <v>671</v>
      </c>
      <c r="K5" s="424" t="s">
        <v>671</v>
      </c>
      <c r="M5" s="252" t="s">
        <v>421</v>
      </c>
      <c r="N5" s="220" t="s">
        <v>455</v>
      </c>
    </row>
    <row r="6" spans="2:18" ht="12.75">
      <c r="F6" s="180"/>
      <c r="G6" s="222"/>
      <c r="H6" s="222"/>
      <c r="I6" s="219"/>
      <c r="J6" s="222"/>
      <c r="K6" s="222"/>
      <c r="L6" s="180"/>
      <c r="M6" s="247"/>
      <c r="O6" s="180"/>
      <c r="P6" s="180"/>
      <c r="Q6" s="180"/>
      <c r="R6" s="180"/>
    </row>
    <row r="7" spans="2:18" s="224" customFormat="1" ht="12.75">
      <c r="B7" s="231"/>
      <c r="C7" s="305" t="s">
        <v>294</v>
      </c>
      <c r="D7" s="230"/>
      <c r="E7" s="232"/>
      <c r="M7" s="309"/>
      <c r="N7" s="277"/>
    </row>
    <row r="8" spans="2:18" s="224" customFormat="1">
      <c r="B8" s="231"/>
      <c r="C8" s="236" t="s">
        <v>15</v>
      </c>
      <c r="D8" s="229"/>
      <c r="E8" s="232"/>
      <c r="F8" s="224" t="s">
        <v>420</v>
      </c>
      <c r="G8" s="66">
        <v>18</v>
      </c>
      <c r="H8" s="66">
        <v>15</v>
      </c>
      <c r="I8" s="66">
        <v>7.5</v>
      </c>
      <c r="J8" s="66">
        <v>15</v>
      </c>
      <c r="K8" s="66">
        <v>10</v>
      </c>
      <c r="L8" s="277"/>
      <c r="M8" s="310">
        <f>AVERAGE(G8:K8)</f>
        <v>13.1</v>
      </c>
      <c r="N8" s="277"/>
    </row>
    <row r="9" spans="2:18" s="277" customFormat="1">
      <c r="B9" s="257"/>
      <c r="C9" s="236" t="s">
        <v>16</v>
      </c>
      <c r="D9" s="255"/>
      <c r="E9" s="232"/>
      <c r="F9" s="277" t="s">
        <v>420</v>
      </c>
      <c r="G9" s="66">
        <v>18</v>
      </c>
      <c r="H9" s="66">
        <v>15</v>
      </c>
      <c r="I9" s="66">
        <v>7.5</v>
      </c>
      <c r="J9" s="66">
        <v>15</v>
      </c>
      <c r="K9" s="66">
        <v>24</v>
      </c>
      <c r="M9" s="310">
        <f>AVERAGE(G9:K9)</f>
        <v>15.9</v>
      </c>
    </row>
    <row r="10" spans="2:18" s="277" customFormat="1">
      <c r="B10" s="257"/>
      <c r="C10" s="236" t="s">
        <v>17</v>
      </c>
      <c r="D10" s="255"/>
      <c r="E10" s="232"/>
      <c r="F10" s="277" t="s">
        <v>420</v>
      </c>
      <c r="G10" s="66">
        <v>18</v>
      </c>
      <c r="H10" s="66">
        <v>15</v>
      </c>
      <c r="I10" s="66">
        <v>7.5</v>
      </c>
      <c r="J10" s="66">
        <v>15</v>
      </c>
      <c r="K10" s="66">
        <v>10</v>
      </c>
      <c r="M10" s="310">
        <f>AVERAGE(G10:K10)</f>
        <v>13.1</v>
      </c>
    </row>
    <row r="11" spans="2:18" s="277" customFormat="1">
      <c r="B11" s="257"/>
      <c r="C11" s="236"/>
      <c r="D11" s="255"/>
      <c r="E11" s="232"/>
      <c r="G11" s="232"/>
      <c r="H11" s="232"/>
      <c r="I11" s="232"/>
      <c r="J11" s="232"/>
      <c r="K11" s="232"/>
      <c r="M11" s="309"/>
    </row>
    <row r="12" spans="2:18" s="224" customFormat="1">
      <c r="B12" s="231"/>
      <c r="C12" s="237" t="s">
        <v>296</v>
      </c>
      <c r="D12" s="229"/>
      <c r="E12" s="239"/>
      <c r="G12" s="261"/>
      <c r="H12" s="261"/>
      <c r="I12" s="239"/>
      <c r="J12" s="261"/>
      <c r="K12" s="261"/>
      <c r="L12" s="277"/>
      <c r="M12" s="309"/>
      <c r="N12" s="277"/>
    </row>
    <row r="13" spans="2:18" s="224" customFormat="1">
      <c r="B13" s="231"/>
      <c r="C13" s="225" t="s">
        <v>297</v>
      </c>
      <c r="D13" s="229"/>
      <c r="E13" s="240"/>
      <c r="F13" s="224" t="s">
        <v>61</v>
      </c>
      <c r="G13" s="424" t="s">
        <v>671</v>
      </c>
      <c r="H13" s="424" t="s">
        <v>671</v>
      </c>
      <c r="I13" s="424" t="s">
        <v>671</v>
      </c>
      <c r="J13" s="424" t="s">
        <v>671</v>
      </c>
      <c r="K13" s="424" t="s">
        <v>671</v>
      </c>
      <c r="L13" s="277"/>
      <c r="M13" s="306"/>
      <c r="N13" s="277"/>
    </row>
    <row r="14" spans="2:18" s="224" customFormat="1">
      <c r="B14" s="229"/>
      <c r="C14" s="228" t="s">
        <v>298</v>
      </c>
      <c r="D14" s="230"/>
      <c r="E14" s="239"/>
      <c r="F14" s="224" t="s">
        <v>58</v>
      </c>
      <c r="G14" s="424" t="s">
        <v>671</v>
      </c>
      <c r="H14" s="424" t="s">
        <v>671</v>
      </c>
      <c r="I14" s="424" t="s">
        <v>671</v>
      </c>
      <c r="J14" s="424" t="s">
        <v>671</v>
      </c>
      <c r="K14" s="424" t="s">
        <v>671</v>
      </c>
      <c r="L14" s="277"/>
      <c r="M14" s="307"/>
      <c r="N14" s="277"/>
    </row>
    <row r="15" spans="2:18" s="224" customFormat="1">
      <c r="B15" s="229"/>
      <c r="C15" s="225" t="s">
        <v>299</v>
      </c>
      <c r="D15" s="230"/>
      <c r="E15" s="240"/>
      <c r="F15" s="277" t="s">
        <v>61</v>
      </c>
      <c r="G15" s="424" t="s">
        <v>671</v>
      </c>
      <c r="H15" s="424" t="s">
        <v>671</v>
      </c>
      <c r="I15" s="424" t="s">
        <v>671</v>
      </c>
      <c r="J15" s="424" t="s">
        <v>671</v>
      </c>
      <c r="K15" s="424" t="s">
        <v>671</v>
      </c>
      <c r="L15" s="277"/>
      <c r="M15" s="306"/>
      <c r="N15" s="277"/>
    </row>
    <row r="16" spans="2:18" s="224" customFormat="1" ht="12.75">
      <c r="B16" s="233"/>
      <c r="C16" s="228" t="s">
        <v>298</v>
      </c>
      <c r="D16" s="230"/>
      <c r="E16" s="239"/>
      <c r="F16" s="277" t="s">
        <v>58</v>
      </c>
      <c r="G16" s="424" t="s">
        <v>671</v>
      </c>
      <c r="H16" s="424" t="s">
        <v>671</v>
      </c>
      <c r="I16" s="424" t="s">
        <v>671</v>
      </c>
      <c r="J16" s="424" t="s">
        <v>671</v>
      </c>
      <c r="K16" s="424" t="s">
        <v>671</v>
      </c>
      <c r="L16" s="277"/>
      <c r="M16" s="307"/>
      <c r="N16" s="277"/>
    </row>
    <row r="17" spans="2:15" s="224" customFormat="1">
      <c r="B17" s="229"/>
      <c r="C17" s="227" t="s">
        <v>300</v>
      </c>
      <c r="D17" s="230"/>
      <c r="E17" s="240"/>
      <c r="F17" s="277" t="s">
        <v>61</v>
      </c>
      <c r="G17" s="424" t="s">
        <v>671</v>
      </c>
      <c r="H17" s="424" t="s">
        <v>671</v>
      </c>
      <c r="I17" s="424" t="s">
        <v>671</v>
      </c>
      <c r="J17" s="424" t="s">
        <v>671</v>
      </c>
      <c r="K17" s="424" t="s">
        <v>671</v>
      </c>
      <c r="L17" s="277"/>
      <c r="M17" s="306"/>
      <c r="N17" s="277"/>
    </row>
    <row r="18" spans="2:15" s="224" customFormat="1">
      <c r="B18" s="229"/>
      <c r="C18" s="228" t="s">
        <v>298</v>
      </c>
      <c r="D18" s="230"/>
      <c r="E18" s="239"/>
      <c r="F18" s="277" t="s">
        <v>58</v>
      </c>
      <c r="G18" s="424" t="s">
        <v>671</v>
      </c>
      <c r="H18" s="424" t="s">
        <v>671</v>
      </c>
      <c r="I18" s="424" t="s">
        <v>671</v>
      </c>
      <c r="J18" s="424" t="s">
        <v>671</v>
      </c>
      <c r="K18" s="424" t="s">
        <v>671</v>
      </c>
      <c r="L18" s="277"/>
      <c r="M18" s="307"/>
      <c r="N18" s="277"/>
    </row>
    <row r="19" spans="2:15" s="224" customFormat="1">
      <c r="B19" s="229"/>
      <c r="C19" s="227" t="s">
        <v>301</v>
      </c>
      <c r="D19" s="230"/>
      <c r="E19" s="240"/>
      <c r="F19" s="277" t="s">
        <v>61</v>
      </c>
      <c r="G19" s="424" t="s">
        <v>671</v>
      </c>
      <c r="H19" s="424" t="s">
        <v>671</v>
      </c>
      <c r="I19" s="424" t="s">
        <v>671</v>
      </c>
      <c r="J19" s="424" t="s">
        <v>671</v>
      </c>
      <c r="K19" s="424" t="s">
        <v>671</v>
      </c>
      <c r="L19" s="277"/>
      <c r="M19" s="306"/>
      <c r="N19" s="277"/>
    </row>
    <row r="20" spans="2:15" s="224" customFormat="1">
      <c r="B20" s="229"/>
      <c r="C20" s="228" t="s">
        <v>298</v>
      </c>
      <c r="D20" s="229"/>
      <c r="E20" s="239"/>
      <c r="F20" s="277" t="s">
        <v>58</v>
      </c>
      <c r="G20" s="424" t="s">
        <v>671</v>
      </c>
      <c r="H20" s="424" t="s">
        <v>671</v>
      </c>
      <c r="I20" s="424" t="s">
        <v>671</v>
      </c>
      <c r="J20" s="424" t="s">
        <v>671</v>
      </c>
      <c r="K20" s="424" t="s">
        <v>671</v>
      </c>
      <c r="L20" s="277"/>
      <c r="M20" s="307"/>
      <c r="N20" s="277"/>
    </row>
    <row r="21" spans="2:15" s="224" customFormat="1">
      <c r="B21" s="229"/>
      <c r="C21" s="226" t="s">
        <v>292</v>
      </c>
      <c r="D21" s="229"/>
      <c r="E21" s="240"/>
      <c r="F21" s="277" t="s">
        <v>61</v>
      </c>
      <c r="G21" s="424" t="s">
        <v>671</v>
      </c>
      <c r="H21" s="424" t="s">
        <v>671</v>
      </c>
      <c r="I21" s="424" t="s">
        <v>671</v>
      </c>
      <c r="J21" s="424" t="s">
        <v>671</v>
      </c>
      <c r="K21" s="424" t="s">
        <v>671</v>
      </c>
      <c r="L21" s="277"/>
      <c r="M21" s="306"/>
      <c r="N21" s="277"/>
    </row>
    <row r="22" spans="2:15" s="224" customFormat="1">
      <c r="B22" s="229"/>
      <c r="C22" s="228" t="s">
        <v>298</v>
      </c>
      <c r="D22" s="229"/>
      <c r="E22" s="239"/>
      <c r="F22" s="277" t="s">
        <v>58</v>
      </c>
      <c r="G22" s="424" t="s">
        <v>671</v>
      </c>
      <c r="H22" s="424" t="s">
        <v>671</v>
      </c>
      <c r="I22" s="424" t="s">
        <v>671</v>
      </c>
      <c r="J22" s="424" t="s">
        <v>671</v>
      </c>
      <c r="K22" s="424" t="s">
        <v>671</v>
      </c>
      <c r="L22" s="277"/>
      <c r="M22" s="307"/>
      <c r="N22" s="277"/>
    </row>
    <row r="23" spans="2:15" s="224" customFormat="1">
      <c r="B23" s="229"/>
      <c r="C23" s="235"/>
      <c r="D23" s="234"/>
      <c r="E23" s="232"/>
      <c r="G23" s="308"/>
      <c r="H23" s="308"/>
      <c r="I23" s="307" t="s">
        <v>295</v>
      </c>
      <c r="J23" s="308" t="s">
        <v>295</v>
      </c>
      <c r="K23" s="308" t="s">
        <v>295</v>
      </c>
      <c r="L23" s="277"/>
      <c r="M23" s="309"/>
      <c r="N23" s="277"/>
    </row>
    <row r="24" spans="2:15" s="224" customFormat="1">
      <c r="B24" s="229"/>
      <c r="C24" s="238" t="s">
        <v>302</v>
      </c>
      <c r="D24" s="229"/>
      <c r="E24" s="232"/>
      <c r="G24" s="307"/>
      <c r="H24" s="307"/>
      <c r="I24" s="307"/>
      <c r="J24" s="307"/>
      <c r="K24" s="307"/>
      <c r="L24" s="277"/>
      <c r="M24" s="309"/>
      <c r="N24" s="277"/>
    </row>
    <row r="25" spans="2:15" s="224" customFormat="1">
      <c r="B25" s="229"/>
      <c r="C25" s="235" t="s">
        <v>303</v>
      </c>
      <c r="D25" s="229"/>
      <c r="E25" s="239"/>
      <c r="F25" s="224" t="s">
        <v>58</v>
      </c>
      <c r="G25" s="424" t="s">
        <v>671</v>
      </c>
      <c r="H25" s="424" t="s">
        <v>671</v>
      </c>
      <c r="I25" s="424" t="s">
        <v>671</v>
      </c>
      <c r="J25" s="424" t="s">
        <v>671</v>
      </c>
      <c r="K25" s="424" t="s">
        <v>671</v>
      </c>
      <c r="L25" s="277"/>
      <c r="M25" s="424" t="s">
        <v>671</v>
      </c>
      <c r="N25" s="277"/>
    </row>
    <row r="26" spans="2:15" s="224" customFormat="1">
      <c r="B26" s="229"/>
      <c r="C26" s="235" t="s">
        <v>304</v>
      </c>
      <c r="D26" s="229"/>
      <c r="E26" s="239"/>
      <c r="F26" s="277" t="s">
        <v>58</v>
      </c>
      <c r="G26" s="424" t="s">
        <v>671</v>
      </c>
      <c r="H26" s="424" t="s">
        <v>671</v>
      </c>
      <c r="I26" s="424" t="s">
        <v>671</v>
      </c>
      <c r="J26" s="424" t="s">
        <v>671</v>
      </c>
      <c r="K26" s="424" t="s">
        <v>671</v>
      </c>
      <c r="L26" s="277"/>
      <c r="M26" s="424" t="s">
        <v>671</v>
      </c>
      <c r="N26" s="277"/>
    </row>
    <row r="27" spans="2:15" s="224" customFormat="1">
      <c r="B27" s="229"/>
      <c r="C27" s="235" t="s">
        <v>305</v>
      </c>
      <c r="D27" s="229"/>
      <c r="E27" s="239"/>
      <c r="F27" s="277" t="s">
        <v>58</v>
      </c>
      <c r="G27" s="424" t="s">
        <v>671</v>
      </c>
      <c r="H27" s="424" t="s">
        <v>671</v>
      </c>
      <c r="I27" s="424" t="s">
        <v>671</v>
      </c>
      <c r="J27" s="424" t="s">
        <v>671</v>
      </c>
      <c r="K27" s="424" t="s">
        <v>671</v>
      </c>
      <c r="L27" s="277"/>
      <c r="M27" s="424" t="s">
        <v>671</v>
      </c>
      <c r="N27" s="277"/>
    </row>
    <row r="28" spans="2:15" s="224" customFormat="1">
      <c r="B28" s="229"/>
      <c r="C28" s="235" t="s">
        <v>306</v>
      </c>
      <c r="D28" s="229"/>
      <c r="E28" s="239"/>
      <c r="F28" s="277" t="s">
        <v>58</v>
      </c>
      <c r="G28" s="424" t="s">
        <v>671</v>
      </c>
      <c r="H28" s="424" t="s">
        <v>671</v>
      </c>
      <c r="I28" s="424" t="s">
        <v>671</v>
      </c>
      <c r="J28" s="424" t="s">
        <v>671</v>
      </c>
      <c r="K28" s="424" t="s">
        <v>671</v>
      </c>
      <c r="L28" s="277"/>
      <c r="M28" s="424" t="s">
        <v>671</v>
      </c>
      <c r="N28" s="277"/>
    </row>
    <row r="29" spans="2:15" s="277" customFormat="1">
      <c r="B29" s="255"/>
      <c r="C29" s="235"/>
      <c r="D29" s="255"/>
      <c r="E29" s="239"/>
      <c r="G29" s="239"/>
      <c r="H29" s="239"/>
      <c r="I29" s="239"/>
      <c r="J29" s="239"/>
      <c r="K29" s="239"/>
      <c r="M29" s="307"/>
    </row>
    <row r="30" spans="2:15" s="277" customFormat="1">
      <c r="B30" s="255"/>
      <c r="C30" s="238" t="s">
        <v>418</v>
      </c>
      <c r="D30" s="255"/>
      <c r="E30" s="239"/>
      <c r="G30" s="239"/>
      <c r="H30" s="239"/>
      <c r="I30" s="239"/>
      <c r="J30" s="239"/>
      <c r="K30" s="239"/>
      <c r="M30" s="307"/>
    </row>
    <row r="31" spans="2:15" s="224" customFormat="1" ht="12.75">
      <c r="C31" s="224" t="s">
        <v>418</v>
      </c>
      <c r="F31" s="277" t="s">
        <v>58</v>
      </c>
      <c r="G31" s="424" t="s">
        <v>671</v>
      </c>
      <c r="H31" s="424" t="s">
        <v>671</v>
      </c>
      <c r="I31" s="424" t="s">
        <v>671</v>
      </c>
      <c r="J31" s="424" t="s">
        <v>671</v>
      </c>
      <c r="K31" s="424" t="s">
        <v>671</v>
      </c>
      <c r="L31" s="277"/>
      <c r="M31" s="424" t="s">
        <v>671</v>
      </c>
      <c r="N31" s="277"/>
    </row>
    <row r="32" spans="2:15" s="224" customFormat="1" ht="12.75">
      <c r="G32" s="222"/>
      <c r="H32" s="222"/>
      <c r="I32" s="219"/>
      <c r="J32" s="222"/>
      <c r="K32" s="222"/>
      <c r="L32" s="277"/>
      <c r="M32" s="309"/>
      <c r="N32" s="277"/>
      <c r="O32" s="282"/>
    </row>
    <row r="33" spans="1:18" s="224" customFormat="1" ht="12.75">
      <c r="G33" s="222"/>
      <c r="H33" s="222"/>
      <c r="I33" s="219"/>
      <c r="J33" s="222"/>
      <c r="K33" s="222"/>
      <c r="L33" s="277"/>
      <c r="M33" s="309"/>
      <c r="N33" s="277"/>
    </row>
    <row r="34" spans="1:18" ht="12.75">
      <c r="A34" s="259"/>
      <c r="B34" s="285" t="s">
        <v>308</v>
      </c>
      <c r="C34" s="259"/>
      <c r="D34" s="259"/>
      <c r="E34" s="259"/>
      <c r="F34" s="259"/>
      <c r="G34" s="424" t="s">
        <v>671</v>
      </c>
      <c r="H34" s="424" t="s">
        <v>671</v>
      </c>
      <c r="I34" s="424" t="s">
        <v>671</v>
      </c>
      <c r="J34" s="424" t="s">
        <v>671</v>
      </c>
      <c r="K34" s="424" t="s">
        <v>671</v>
      </c>
      <c r="L34" s="259"/>
      <c r="M34" s="252" t="s">
        <v>421</v>
      </c>
      <c r="N34" s="220" t="s">
        <v>455</v>
      </c>
      <c r="O34" s="180"/>
      <c r="P34" s="180"/>
      <c r="Q34" s="180"/>
      <c r="R34" s="180"/>
    </row>
    <row r="35" spans="1:18" ht="12.75">
      <c r="C35" s="181"/>
      <c r="F35" s="180"/>
      <c r="G35" s="219"/>
      <c r="H35" s="219"/>
      <c r="I35" s="219"/>
      <c r="J35" s="219"/>
      <c r="K35" s="219"/>
      <c r="L35" s="277"/>
      <c r="M35" s="309"/>
      <c r="O35" s="180"/>
      <c r="P35" s="180"/>
      <c r="Q35" s="180"/>
      <c r="R35" s="180"/>
    </row>
    <row r="36" spans="1:18">
      <c r="B36" s="223"/>
      <c r="C36" s="224" t="s">
        <v>264</v>
      </c>
      <c r="D36" s="223"/>
      <c r="E36" s="223"/>
      <c r="F36" s="277" t="s">
        <v>29</v>
      </c>
      <c r="G36" s="424" t="s">
        <v>671</v>
      </c>
      <c r="H36" s="424" t="s">
        <v>671</v>
      </c>
      <c r="I36" s="424" t="s">
        <v>671</v>
      </c>
      <c r="J36" s="424" t="s">
        <v>671</v>
      </c>
      <c r="K36" s="424" t="s">
        <v>671</v>
      </c>
      <c r="L36" s="277"/>
      <c r="M36" s="311"/>
      <c r="O36" s="180"/>
      <c r="P36" s="180"/>
      <c r="Q36" s="180"/>
      <c r="R36" s="180"/>
    </row>
    <row r="37" spans="1:18">
      <c r="B37" s="223"/>
      <c r="C37" s="224" t="s">
        <v>265</v>
      </c>
      <c r="D37" s="223"/>
      <c r="E37" s="223"/>
      <c r="F37" s="277" t="s">
        <v>29</v>
      </c>
      <c r="G37" s="424" t="s">
        <v>671</v>
      </c>
      <c r="H37" s="424" t="s">
        <v>671</v>
      </c>
      <c r="I37" s="424" t="s">
        <v>671</v>
      </c>
      <c r="J37" s="424" t="s">
        <v>671</v>
      </c>
      <c r="K37" s="424" t="s">
        <v>671</v>
      </c>
      <c r="L37" s="277"/>
      <c r="M37" s="311"/>
      <c r="O37" s="180"/>
      <c r="P37" s="180"/>
      <c r="Q37" s="180"/>
      <c r="R37" s="180"/>
    </row>
    <row r="38" spans="1:18">
      <c r="B38" s="223"/>
      <c r="C38" s="224" t="s">
        <v>266</v>
      </c>
      <c r="D38" s="223"/>
      <c r="E38" s="223"/>
      <c r="F38" s="277" t="s">
        <v>29</v>
      </c>
      <c r="G38" s="424" t="s">
        <v>671</v>
      </c>
      <c r="H38" s="424" t="s">
        <v>671</v>
      </c>
      <c r="I38" s="424" t="s">
        <v>671</v>
      </c>
      <c r="J38" s="424" t="s">
        <v>671</v>
      </c>
      <c r="K38" s="424" t="s">
        <v>671</v>
      </c>
      <c r="L38" s="277"/>
      <c r="M38" s="311"/>
      <c r="O38" s="180"/>
      <c r="P38" s="180"/>
      <c r="Q38" s="180"/>
      <c r="R38" s="180"/>
    </row>
    <row r="39" spans="1:18">
      <c r="B39" s="223"/>
      <c r="C39" s="224" t="s">
        <v>267</v>
      </c>
      <c r="D39" s="223"/>
      <c r="E39" s="223"/>
      <c r="F39" s="277" t="s">
        <v>29</v>
      </c>
      <c r="G39" s="424" t="s">
        <v>671</v>
      </c>
      <c r="H39" s="424" t="s">
        <v>671</v>
      </c>
      <c r="I39" s="424" t="s">
        <v>671</v>
      </c>
      <c r="J39" s="424" t="s">
        <v>671</v>
      </c>
      <c r="K39" s="424" t="s">
        <v>671</v>
      </c>
      <c r="L39" s="277"/>
      <c r="M39" s="311"/>
      <c r="O39" s="180"/>
      <c r="P39" s="180"/>
      <c r="Q39" s="180"/>
      <c r="R39" s="180"/>
    </row>
    <row r="40" spans="1:18">
      <c r="B40" s="223"/>
      <c r="C40" s="224" t="s">
        <v>268</v>
      </c>
      <c r="D40" s="223"/>
      <c r="E40" s="223"/>
      <c r="F40" s="277" t="s">
        <v>29</v>
      </c>
      <c r="G40" s="424" t="s">
        <v>671</v>
      </c>
      <c r="H40" s="424" t="s">
        <v>671</v>
      </c>
      <c r="I40" s="424" t="s">
        <v>671</v>
      </c>
      <c r="J40" s="424" t="s">
        <v>671</v>
      </c>
      <c r="K40" s="424" t="s">
        <v>671</v>
      </c>
      <c r="L40" s="277"/>
      <c r="M40" s="311"/>
      <c r="O40" s="180"/>
      <c r="P40" s="180"/>
      <c r="Q40" s="180"/>
      <c r="R40" s="180"/>
    </row>
    <row r="41" spans="1:18">
      <c r="B41" s="223"/>
      <c r="C41" s="224" t="s">
        <v>269</v>
      </c>
      <c r="D41" s="223"/>
      <c r="E41" s="223"/>
      <c r="F41" s="277" t="s">
        <v>29</v>
      </c>
      <c r="G41" s="424" t="s">
        <v>671</v>
      </c>
      <c r="H41" s="424" t="s">
        <v>671</v>
      </c>
      <c r="I41" s="424" t="s">
        <v>671</v>
      </c>
      <c r="J41" s="424" t="s">
        <v>671</v>
      </c>
      <c r="K41" s="424" t="s">
        <v>671</v>
      </c>
      <c r="L41" s="277"/>
      <c r="M41" s="311"/>
      <c r="O41" s="180"/>
      <c r="P41" s="180"/>
      <c r="Q41" s="180"/>
      <c r="R41" s="180"/>
    </row>
    <row r="42" spans="1:18">
      <c r="B42" s="223"/>
      <c r="C42" s="224" t="s">
        <v>270</v>
      </c>
      <c r="D42" s="223"/>
      <c r="E42" s="223"/>
      <c r="F42" s="277" t="s">
        <v>29</v>
      </c>
      <c r="G42" s="424" t="s">
        <v>671</v>
      </c>
      <c r="H42" s="424" t="s">
        <v>671</v>
      </c>
      <c r="I42" s="424" t="s">
        <v>671</v>
      </c>
      <c r="J42" s="424" t="s">
        <v>671</v>
      </c>
      <c r="K42" s="424" t="s">
        <v>671</v>
      </c>
      <c r="L42" s="277"/>
      <c r="M42" s="311"/>
      <c r="O42" s="180"/>
      <c r="P42" s="180"/>
      <c r="Q42" s="180"/>
      <c r="R42" s="180"/>
    </row>
    <row r="43" spans="1:18" s="166" customFormat="1">
      <c r="B43" s="223"/>
      <c r="C43" s="224" t="s">
        <v>30</v>
      </c>
      <c r="D43" s="223"/>
      <c r="E43" s="223"/>
      <c r="F43" s="277" t="s">
        <v>29</v>
      </c>
      <c r="G43" s="424" t="s">
        <v>671</v>
      </c>
      <c r="H43" s="424" t="s">
        <v>671</v>
      </c>
      <c r="I43" s="424" t="s">
        <v>671</v>
      </c>
      <c r="J43" s="424" t="s">
        <v>671</v>
      </c>
      <c r="K43" s="424" t="s">
        <v>671</v>
      </c>
      <c r="L43" s="265"/>
      <c r="M43" s="311"/>
      <c r="N43" s="265"/>
    </row>
    <row r="44" spans="1:18">
      <c r="A44" s="167"/>
      <c r="B44" s="223"/>
      <c r="C44" s="224" t="s">
        <v>271</v>
      </c>
      <c r="D44" s="223"/>
      <c r="E44" s="223"/>
      <c r="F44" s="277" t="s">
        <v>29</v>
      </c>
      <c r="G44" s="424" t="s">
        <v>671</v>
      </c>
      <c r="H44" s="424" t="s">
        <v>671</v>
      </c>
      <c r="I44" s="424" t="s">
        <v>671</v>
      </c>
      <c r="J44" s="424" t="s">
        <v>671</v>
      </c>
      <c r="K44" s="424" t="s">
        <v>671</v>
      </c>
      <c r="L44" s="277"/>
      <c r="M44" s="311"/>
      <c r="O44" s="180"/>
      <c r="P44" s="180"/>
      <c r="Q44" s="180"/>
      <c r="R44" s="180"/>
    </row>
    <row r="45" spans="1:18">
      <c r="A45" s="167"/>
      <c r="B45" s="223"/>
      <c r="C45" s="224" t="s">
        <v>272</v>
      </c>
      <c r="D45" s="223"/>
      <c r="E45" s="223"/>
      <c r="F45" s="277" t="s">
        <v>29</v>
      </c>
      <c r="G45" s="424" t="s">
        <v>671</v>
      </c>
      <c r="H45" s="424" t="s">
        <v>671</v>
      </c>
      <c r="I45" s="424" t="s">
        <v>671</v>
      </c>
      <c r="J45" s="424" t="s">
        <v>671</v>
      </c>
      <c r="K45" s="424" t="s">
        <v>671</v>
      </c>
      <c r="L45" s="277"/>
      <c r="M45" s="311"/>
      <c r="O45" s="180"/>
      <c r="P45" s="180"/>
      <c r="Q45" s="180"/>
      <c r="R45" s="180"/>
    </row>
    <row r="46" spans="1:18">
      <c r="A46" s="167"/>
      <c r="B46" s="223"/>
      <c r="C46" s="224" t="s">
        <v>273</v>
      </c>
      <c r="D46" s="223"/>
      <c r="E46" s="223"/>
      <c r="F46" s="277" t="s">
        <v>29</v>
      </c>
      <c r="G46" s="424" t="s">
        <v>671</v>
      </c>
      <c r="H46" s="424" t="s">
        <v>671</v>
      </c>
      <c r="I46" s="424" t="s">
        <v>671</v>
      </c>
      <c r="J46" s="424" t="s">
        <v>671</v>
      </c>
      <c r="K46" s="424" t="s">
        <v>671</v>
      </c>
      <c r="L46" s="277"/>
      <c r="M46" s="311"/>
      <c r="O46" s="180"/>
      <c r="P46" s="180"/>
      <c r="Q46" s="180"/>
      <c r="R46" s="180"/>
    </row>
    <row r="47" spans="1:18">
      <c r="B47" s="223"/>
      <c r="C47" s="223"/>
      <c r="D47" s="223"/>
      <c r="E47" s="223"/>
      <c r="F47" s="180"/>
      <c r="G47" s="221"/>
      <c r="H47" s="221"/>
      <c r="I47" s="221"/>
      <c r="J47" s="221"/>
      <c r="K47" s="221"/>
      <c r="L47" s="277"/>
      <c r="M47" s="311"/>
      <c r="O47" s="180"/>
      <c r="P47" s="180"/>
      <c r="Q47" s="180"/>
      <c r="R47" s="180"/>
    </row>
    <row r="48" spans="1:18">
      <c r="B48" s="223"/>
      <c r="C48" s="224" t="s">
        <v>227</v>
      </c>
      <c r="D48" s="223"/>
      <c r="E48" s="223"/>
      <c r="F48" s="277" t="s">
        <v>29</v>
      </c>
      <c r="G48" s="424" t="s">
        <v>671</v>
      </c>
      <c r="H48" s="424" t="s">
        <v>671</v>
      </c>
      <c r="I48" s="424" t="s">
        <v>671</v>
      </c>
      <c r="J48" s="424" t="s">
        <v>671</v>
      </c>
      <c r="K48" s="424" t="s">
        <v>671</v>
      </c>
      <c r="L48" s="277"/>
      <c r="M48" s="311"/>
      <c r="O48" s="180"/>
      <c r="P48" s="180"/>
      <c r="Q48" s="180"/>
      <c r="R48" s="180"/>
    </row>
    <row r="49" spans="1:18">
      <c r="B49" s="223"/>
      <c r="C49" s="223"/>
      <c r="D49" s="223"/>
      <c r="E49" s="223"/>
      <c r="F49" s="180"/>
      <c r="G49" s="221"/>
      <c r="H49" s="221"/>
      <c r="I49" s="221"/>
      <c r="J49" s="221"/>
      <c r="K49" s="221"/>
      <c r="L49" s="277"/>
      <c r="M49" s="311"/>
      <c r="O49" s="180"/>
      <c r="P49" s="180"/>
      <c r="Q49" s="180"/>
      <c r="R49" s="180"/>
    </row>
    <row r="50" spans="1:18">
      <c r="B50" s="223"/>
      <c r="C50" s="224" t="s">
        <v>36</v>
      </c>
      <c r="D50" s="223"/>
      <c r="E50" s="223"/>
      <c r="F50" s="277" t="s">
        <v>29</v>
      </c>
      <c r="G50" s="424" t="s">
        <v>671</v>
      </c>
      <c r="H50" s="424" t="s">
        <v>671</v>
      </c>
      <c r="I50" s="424" t="s">
        <v>671</v>
      </c>
      <c r="J50" s="424" t="s">
        <v>671</v>
      </c>
      <c r="K50" s="424" t="s">
        <v>671</v>
      </c>
      <c r="L50" s="277"/>
      <c r="M50" s="311"/>
      <c r="N50" s="269"/>
      <c r="O50" s="180"/>
      <c r="P50" s="180"/>
      <c r="Q50" s="180"/>
      <c r="R50" s="180"/>
    </row>
    <row r="51" spans="1:18">
      <c r="G51" s="277"/>
      <c r="H51" s="277"/>
      <c r="I51" s="277"/>
      <c r="J51" s="277"/>
      <c r="K51" s="277"/>
      <c r="L51" s="255"/>
      <c r="M51" s="309"/>
    </row>
    <row r="52" spans="1:18">
      <c r="A52" s="220"/>
      <c r="B52" s="285" t="s">
        <v>309</v>
      </c>
      <c r="C52" s="220"/>
      <c r="D52" s="220"/>
      <c r="E52" s="220"/>
      <c r="F52" s="220"/>
      <c r="G52" s="424" t="s">
        <v>671</v>
      </c>
      <c r="H52" s="424" t="s">
        <v>671</v>
      </c>
      <c r="I52" s="424" t="s">
        <v>671</v>
      </c>
      <c r="J52" s="424" t="s">
        <v>671</v>
      </c>
      <c r="K52" s="424" t="s">
        <v>671</v>
      </c>
      <c r="L52" s="259"/>
      <c r="M52" s="252"/>
      <c r="N52" s="220" t="s">
        <v>455</v>
      </c>
    </row>
    <row r="53" spans="1:18">
      <c r="B53" s="243"/>
      <c r="C53" s="241"/>
      <c r="D53" s="241"/>
      <c r="E53" s="241"/>
      <c r="G53" s="255"/>
      <c r="H53" s="255"/>
      <c r="I53" s="255"/>
      <c r="J53" s="255"/>
      <c r="K53" s="255"/>
      <c r="L53" s="255"/>
      <c r="M53" s="309"/>
    </row>
    <row r="54" spans="1:18">
      <c r="B54" s="241"/>
      <c r="C54" s="242" t="s">
        <v>264</v>
      </c>
      <c r="D54" s="241"/>
      <c r="E54" s="241"/>
      <c r="F54" s="277" t="s">
        <v>29</v>
      </c>
      <c r="G54" s="424" t="s">
        <v>671</v>
      </c>
      <c r="H54" s="424" t="s">
        <v>671</v>
      </c>
      <c r="I54" s="424" t="s">
        <v>671</v>
      </c>
      <c r="J54" s="424" t="s">
        <v>671</v>
      </c>
      <c r="K54" s="424" t="s">
        <v>671</v>
      </c>
      <c r="L54" s="255"/>
      <c r="M54" s="312"/>
    </row>
    <row r="55" spans="1:18">
      <c r="B55" s="241"/>
      <c r="C55" s="242" t="s">
        <v>265</v>
      </c>
      <c r="D55" s="241"/>
      <c r="E55" s="241"/>
      <c r="F55" s="277" t="s">
        <v>29</v>
      </c>
      <c r="G55" s="424" t="s">
        <v>671</v>
      </c>
      <c r="H55" s="424" t="s">
        <v>671</v>
      </c>
      <c r="I55" s="424" t="s">
        <v>671</v>
      </c>
      <c r="J55" s="424" t="s">
        <v>671</v>
      </c>
      <c r="K55" s="424" t="s">
        <v>671</v>
      </c>
      <c r="L55" s="255"/>
      <c r="M55" s="312"/>
    </row>
    <row r="56" spans="1:18">
      <c r="B56" s="241"/>
      <c r="C56" s="242" t="s">
        <v>266</v>
      </c>
      <c r="D56" s="241"/>
      <c r="E56" s="241"/>
      <c r="F56" s="277" t="s">
        <v>29</v>
      </c>
      <c r="G56" s="424" t="s">
        <v>671</v>
      </c>
      <c r="H56" s="424" t="s">
        <v>671</v>
      </c>
      <c r="I56" s="424" t="s">
        <v>671</v>
      </c>
      <c r="J56" s="424" t="s">
        <v>671</v>
      </c>
      <c r="K56" s="424" t="s">
        <v>671</v>
      </c>
      <c r="L56" s="255"/>
      <c r="M56" s="312"/>
    </row>
    <row r="57" spans="1:18">
      <c r="B57" s="241"/>
      <c r="C57" s="242" t="s">
        <v>267</v>
      </c>
      <c r="D57" s="241"/>
      <c r="E57" s="241"/>
      <c r="F57" s="277" t="s">
        <v>29</v>
      </c>
      <c r="G57" s="424" t="s">
        <v>671</v>
      </c>
      <c r="H57" s="424" t="s">
        <v>671</v>
      </c>
      <c r="I57" s="424" t="s">
        <v>671</v>
      </c>
      <c r="J57" s="424" t="s">
        <v>671</v>
      </c>
      <c r="K57" s="424" t="s">
        <v>671</v>
      </c>
      <c r="L57" s="255"/>
      <c r="M57" s="312"/>
    </row>
    <row r="58" spans="1:18">
      <c r="B58" s="241"/>
      <c r="C58" s="242" t="s">
        <v>268</v>
      </c>
      <c r="D58" s="241"/>
      <c r="E58" s="241"/>
      <c r="F58" s="277" t="s">
        <v>29</v>
      </c>
      <c r="G58" s="424" t="s">
        <v>671</v>
      </c>
      <c r="H58" s="424" t="s">
        <v>671</v>
      </c>
      <c r="I58" s="424" t="s">
        <v>671</v>
      </c>
      <c r="J58" s="424" t="s">
        <v>671</v>
      </c>
      <c r="K58" s="424" t="s">
        <v>671</v>
      </c>
      <c r="L58" s="255"/>
      <c r="M58" s="312"/>
    </row>
    <row r="59" spans="1:18">
      <c r="B59" s="241"/>
      <c r="C59" s="242" t="s">
        <v>269</v>
      </c>
      <c r="D59" s="241"/>
      <c r="E59" s="241"/>
      <c r="F59" s="277" t="s">
        <v>29</v>
      </c>
      <c r="G59" s="424" t="s">
        <v>671</v>
      </c>
      <c r="H59" s="424" t="s">
        <v>671</v>
      </c>
      <c r="I59" s="424" t="s">
        <v>671</v>
      </c>
      <c r="J59" s="424" t="s">
        <v>671</v>
      </c>
      <c r="K59" s="424" t="s">
        <v>671</v>
      </c>
      <c r="L59" s="255"/>
      <c r="M59" s="312"/>
    </row>
    <row r="60" spans="1:18">
      <c r="B60" s="241"/>
      <c r="C60" s="242" t="s">
        <v>270</v>
      </c>
      <c r="D60" s="241"/>
      <c r="E60" s="241"/>
      <c r="F60" s="277" t="s">
        <v>29</v>
      </c>
      <c r="G60" s="424" t="s">
        <v>671</v>
      </c>
      <c r="H60" s="424" t="s">
        <v>671</v>
      </c>
      <c r="I60" s="424" t="s">
        <v>671</v>
      </c>
      <c r="J60" s="424" t="s">
        <v>671</v>
      </c>
      <c r="K60" s="424" t="s">
        <v>671</v>
      </c>
      <c r="L60" s="255"/>
      <c r="M60" s="312"/>
    </row>
    <row r="61" spans="1:18">
      <c r="B61" s="241"/>
      <c r="C61" s="242" t="s">
        <v>30</v>
      </c>
      <c r="D61" s="241"/>
      <c r="E61" s="241"/>
      <c r="F61" s="277" t="s">
        <v>29</v>
      </c>
      <c r="G61" s="424" t="s">
        <v>671</v>
      </c>
      <c r="H61" s="424" t="s">
        <v>671</v>
      </c>
      <c r="I61" s="424" t="s">
        <v>671</v>
      </c>
      <c r="J61" s="424" t="s">
        <v>671</v>
      </c>
      <c r="K61" s="424" t="s">
        <v>671</v>
      </c>
      <c r="L61" s="255"/>
      <c r="M61" s="312"/>
    </row>
    <row r="62" spans="1:18">
      <c r="B62" s="241"/>
      <c r="C62" s="242" t="s">
        <v>271</v>
      </c>
      <c r="D62" s="241"/>
      <c r="E62" s="241"/>
      <c r="F62" s="277" t="s">
        <v>29</v>
      </c>
      <c r="G62" s="424" t="s">
        <v>671</v>
      </c>
      <c r="H62" s="424" t="s">
        <v>671</v>
      </c>
      <c r="I62" s="424" t="s">
        <v>671</v>
      </c>
      <c r="J62" s="424" t="s">
        <v>671</v>
      </c>
      <c r="K62" s="424" t="s">
        <v>671</v>
      </c>
      <c r="L62" s="255"/>
      <c r="M62" s="312"/>
    </row>
    <row r="63" spans="1:18">
      <c r="B63" s="241"/>
      <c r="C63" s="242" t="s">
        <v>272</v>
      </c>
      <c r="D63" s="241"/>
      <c r="E63" s="241"/>
      <c r="F63" s="277" t="s">
        <v>29</v>
      </c>
      <c r="G63" s="424" t="s">
        <v>671</v>
      </c>
      <c r="H63" s="424" t="s">
        <v>671</v>
      </c>
      <c r="I63" s="424" t="s">
        <v>671</v>
      </c>
      <c r="J63" s="424" t="s">
        <v>671</v>
      </c>
      <c r="K63" s="424" t="s">
        <v>671</v>
      </c>
      <c r="L63" s="255"/>
      <c r="M63" s="312"/>
    </row>
    <row r="64" spans="1:18">
      <c r="B64" s="241"/>
      <c r="C64" s="242" t="s">
        <v>273</v>
      </c>
      <c r="D64" s="241"/>
      <c r="E64" s="241"/>
      <c r="F64" s="277" t="s">
        <v>29</v>
      </c>
      <c r="G64" s="424" t="s">
        <v>671</v>
      </c>
      <c r="H64" s="424" t="s">
        <v>671</v>
      </c>
      <c r="I64" s="424" t="s">
        <v>671</v>
      </c>
      <c r="J64" s="424" t="s">
        <v>671</v>
      </c>
      <c r="K64" s="424" t="s">
        <v>671</v>
      </c>
      <c r="L64" s="255"/>
      <c r="M64" s="312"/>
    </row>
    <row r="65" spans="1:14">
      <c r="B65" s="241"/>
      <c r="C65" s="241"/>
      <c r="D65" s="241"/>
      <c r="E65" s="241"/>
      <c r="G65" s="221"/>
      <c r="H65" s="221"/>
      <c r="I65" s="221"/>
      <c r="J65" s="221"/>
      <c r="K65" s="221"/>
      <c r="L65" s="255"/>
      <c r="M65" s="312"/>
    </row>
    <row r="66" spans="1:14">
      <c r="B66" s="241"/>
      <c r="C66" s="242" t="s">
        <v>227</v>
      </c>
      <c r="D66" s="241"/>
      <c r="E66" s="241"/>
      <c r="F66" s="277" t="s">
        <v>29</v>
      </c>
      <c r="G66" s="424" t="s">
        <v>671</v>
      </c>
      <c r="H66" s="424" t="s">
        <v>671</v>
      </c>
      <c r="I66" s="424" t="s">
        <v>671</v>
      </c>
      <c r="J66" s="424" t="s">
        <v>671</v>
      </c>
      <c r="K66" s="424" t="s">
        <v>671</v>
      </c>
      <c r="L66" s="255"/>
      <c r="M66" s="312"/>
    </row>
    <row r="67" spans="1:14">
      <c r="B67" s="241"/>
      <c r="C67" s="241"/>
      <c r="D67" s="241"/>
      <c r="E67" s="241"/>
      <c r="G67" s="221"/>
      <c r="H67" s="221"/>
      <c r="I67" s="221"/>
      <c r="J67" s="221"/>
      <c r="K67" s="221"/>
      <c r="L67" s="255"/>
      <c r="M67" s="312"/>
    </row>
    <row r="68" spans="1:14">
      <c r="B68" s="241"/>
      <c r="C68" s="242" t="s">
        <v>36</v>
      </c>
      <c r="D68" s="241"/>
      <c r="E68" s="241"/>
      <c r="F68" s="277" t="s">
        <v>29</v>
      </c>
      <c r="G68" s="424" t="s">
        <v>671</v>
      </c>
      <c r="H68" s="424" t="s">
        <v>671</v>
      </c>
      <c r="I68" s="424" t="s">
        <v>671</v>
      </c>
      <c r="J68" s="424" t="s">
        <v>671</v>
      </c>
      <c r="K68" s="424" t="s">
        <v>671</v>
      </c>
      <c r="L68" s="255"/>
      <c r="M68" s="312"/>
      <c r="N68" s="424" t="s">
        <v>671</v>
      </c>
    </row>
    <row r="69" spans="1:14">
      <c r="G69" s="277"/>
      <c r="H69" s="277"/>
      <c r="I69" s="277"/>
      <c r="J69" s="277"/>
      <c r="K69" s="277"/>
      <c r="L69" s="255"/>
      <c r="M69" s="309"/>
    </row>
    <row r="70" spans="1:14">
      <c r="A70" s="220"/>
      <c r="B70" s="285" t="s">
        <v>310</v>
      </c>
      <c r="C70" s="220"/>
      <c r="D70" s="220"/>
      <c r="E70" s="220"/>
      <c r="F70" s="220"/>
      <c r="G70" s="424" t="s">
        <v>671</v>
      </c>
      <c r="H70" s="424" t="s">
        <v>671</v>
      </c>
      <c r="I70" s="424" t="s">
        <v>671</v>
      </c>
      <c r="J70" s="424" t="s">
        <v>671</v>
      </c>
      <c r="K70" s="424" t="s">
        <v>671</v>
      </c>
      <c r="L70" s="259"/>
      <c r="M70" s="252"/>
      <c r="N70" s="220" t="s">
        <v>455</v>
      </c>
    </row>
    <row r="71" spans="1:14">
      <c r="G71" s="277"/>
      <c r="H71" s="277"/>
      <c r="I71" s="277"/>
      <c r="J71" s="277"/>
      <c r="K71" s="277"/>
      <c r="L71" s="255"/>
      <c r="M71" s="309"/>
    </row>
    <row r="72" spans="1:14">
      <c r="B72" s="241"/>
      <c r="C72" s="242" t="s">
        <v>276</v>
      </c>
      <c r="D72" s="241"/>
      <c r="E72" s="241"/>
      <c r="F72" s="277" t="s">
        <v>29</v>
      </c>
      <c r="G72" s="424" t="s">
        <v>671</v>
      </c>
      <c r="H72" s="424" t="s">
        <v>671</v>
      </c>
      <c r="I72" s="424" t="s">
        <v>671</v>
      </c>
      <c r="J72" s="424" t="s">
        <v>671</v>
      </c>
      <c r="K72" s="424" t="s">
        <v>671</v>
      </c>
      <c r="L72" s="255"/>
      <c r="M72" s="313"/>
    </row>
    <row r="73" spans="1:14">
      <c r="B73" s="241"/>
      <c r="C73" s="242" t="s">
        <v>277</v>
      </c>
      <c r="D73" s="241"/>
      <c r="E73" s="241"/>
      <c r="F73" s="277" t="s">
        <v>29</v>
      </c>
      <c r="G73" s="424" t="s">
        <v>671</v>
      </c>
      <c r="H73" s="424" t="s">
        <v>671</v>
      </c>
      <c r="I73" s="424" t="s">
        <v>671</v>
      </c>
      <c r="J73" s="424" t="s">
        <v>671</v>
      </c>
      <c r="K73" s="424" t="s">
        <v>671</v>
      </c>
      <c r="L73" s="255"/>
      <c r="M73" s="313"/>
    </row>
    <row r="74" spans="1:14">
      <c r="B74" s="241"/>
      <c r="C74" s="242" t="s">
        <v>278</v>
      </c>
      <c r="D74" s="241"/>
      <c r="E74" s="241"/>
      <c r="F74" s="277" t="s">
        <v>29</v>
      </c>
      <c r="G74" s="424" t="s">
        <v>671</v>
      </c>
      <c r="H74" s="424" t="s">
        <v>671</v>
      </c>
      <c r="I74" s="424" t="s">
        <v>671</v>
      </c>
      <c r="J74" s="424" t="s">
        <v>671</v>
      </c>
      <c r="K74" s="424" t="s">
        <v>671</v>
      </c>
      <c r="L74" s="255"/>
      <c r="M74" s="313"/>
    </row>
    <row r="75" spans="1:14">
      <c r="B75" s="241"/>
      <c r="C75" s="242" t="s">
        <v>279</v>
      </c>
      <c r="D75" s="241"/>
      <c r="E75" s="241"/>
      <c r="F75" s="277" t="s">
        <v>29</v>
      </c>
      <c r="G75" s="424" t="s">
        <v>671</v>
      </c>
      <c r="H75" s="424" t="s">
        <v>671</v>
      </c>
      <c r="I75" s="424" t="s">
        <v>671</v>
      </c>
      <c r="J75" s="424" t="s">
        <v>671</v>
      </c>
      <c r="K75" s="424" t="s">
        <v>671</v>
      </c>
      <c r="L75" s="255"/>
      <c r="M75" s="313"/>
    </row>
    <row r="76" spans="1:14">
      <c r="B76" s="241"/>
      <c r="C76" s="242" t="s">
        <v>280</v>
      </c>
      <c r="D76" s="241"/>
      <c r="E76" s="241"/>
      <c r="F76" s="277" t="s">
        <v>29</v>
      </c>
      <c r="G76" s="424" t="s">
        <v>671</v>
      </c>
      <c r="H76" s="424" t="s">
        <v>671</v>
      </c>
      <c r="I76" s="424" t="s">
        <v>671</v>
      </c>
      <c r="J76" s="424" t="s">
        <v>671</v>
      </c>
      <c r="K76" s="424" t="s">
        <v>671</v>
      </c>
      <c r="L76" s="255"/>
      <c r="M76" s="313"/>
    </row>
    <row r="77" spans="1:14">
      <c r="B77" s="241"/>
      <c r="C77" s="242" t="s">
        <v>281</v>
      </c>
      <c r="D77" s="241"/>
      <c r="E77" s="241"/>
      <c r="F77" s="277" t="s">
        <v>29</v>
      </c>
      <c r="G77" s="424" t="s">
        <v>671</v>
      </c>
      <c r="H77" s="424" t="s">
        <v>671</v>
      </c>
      <c r="I77" s="424" t="s">
        <v>671</v>
      </c>
      <c r="J77" s="424" t="s">
        <v>671</v>
      </c>
      <c r="K77" s="424" t="s">
        <v>671</v>
      </c>
      <c r="L77" s="255"/>
      <c r="M77" s="313"/>
    </row>
    <row r="78" spans="1:14">
      <c r="B78" s="241"/>
      <c r="C78" s="242" t="s">
        <v>282</v>
      </c>
      <c r="D78" s="241"/>
      <c r="E78" s="241"/>
      <c r="F78" s="277" t="s">
        <v>29</v>
      </c>
      <c r="G78" s="424" t="s">
        <v>671</v>
      </c>
      <c r="H78" s="424" t="s">
        <v>671</v>
      </c>
      <c r="I78" s="424" t="s">
        <v>671</v>
      </c>
      <c r="J78" s="424" t="s">
        <v>671</v>
      </c>
      <c r="K78" s="424" t="s">
        <v>671</v>
      </c>
      <c r="L78" s="255"/>
      <c r="M78" s="313"/>
    </row>
    <row r="79" spans="1:14">
      <c r="B79" s="241"/>
      <c r="C79" s="242" t="s">
        <v>283</v>
      </c>
      <c r="D79" s="241"/>
      <c r="E79" s="241"/>
      <c r="F79" s="277" t="s">
        <v>29</v>
      </c>
      <c r="G79" s="424" t="s">
        <v>671</v>
      </c>
      <c r="H79" s="424" t="s">
        <v>671</v>
      </c>
      <c r="I79" s="424" t="s">
        <v>671</v>
      </c>
      <c r="J79" s="424" t="s">
        <v>671</v>
      </c>
      <c r="K79" s="424" t="s">
        <v>671</v>
      </c>
      <c r="L79" s="255"/>
      <c r="M79" s="313"/>
    </row>
    <row r="80" spans="1:14">
      <c r="B80" s="241"/>
      <c r="C80" s="242" t="s">
        <v>284</v>
      </c>
      <c r="D80" s="241"/>
      <c r="E80" s="241"/>
      <c r="F80" s="277" t="s">
        <v>29</v>
      </c>
      <c r="G80" s="424" t="s">
        <v>671</v>
      </c>
      <c r="H80" s="424" t="s">
        <v>671</v>
      </c>
      <c r="I80" s="424" t="s">
        <v>671</v>
      </c>
      <c r="J80" s="424" t="s">
        <v>671</v>
      </c>
      <c r="K80" s="424" t="s">
        <v>671</v>
      </c>
      <c r="L80" s="255"/>
      <c r="M80" s="313"/>
    </row>
    <row r="81" spans="1:14">
      <c r="B81" s="241"/>
      <c r="C81" s="242" t="s">
        <v>285</v>
      </c>
      <c r="D81" s="241"/>
      <c r="E81" s="241"/>
      <c r="F81" s="277" t="s">
        <v>29</v>
      </c>
      <c r="G81" s="424" t="s">
        <v>671</v>
      </c>
      <c r="H81" s="424" t="s">
        <v>671</v>
      </c>
      <c r="I81" s="424" t="s">
        <v>671</v>
      </c>
      <c r="J81" s="424" t="s">
        <v>671</v>
      </c>
      <c r="K81" s="424" t="s">
        <v>671</v>
      </c>
      <c r="L81" s="255"/>
      <c r="M81" s="313"/>
    </row>
    <row r="82" spans="1:14">
      <c r="B82" s="241"/>
      <c r="C82" s="242" t="s">
        <v>286</v>
      </c>
      <c r="D82" s="241"/>
      <c r="E82" s="241"/>
      <c r="F82" s="277" t="s">
        <v>29</v>
      </c>
      <c r="G82" s="424" t="s">
        <v>671</v>
      </c>
      <c r="H82" s="424" t="s">
        <v>671</v>
      </c>
      <c r="I82" s="424" t="s">
        <v>671</v>
      </c>
      <c r="J82" s="424" t="s">
        <v>671</v>
      </c>
      <c r="K82" s="424" t="s">
        <v>671</v>
      </c>
      <c r="L82" s="255"/>
      <c r="M82" s="313"/>
    </row>
    <row r="83" spans="1:14">
      <c r="B83" s="241"/>
      <c r="C83" s="242" t="s">
        <v>287</v>
      </c>
      <c r="D83" s="241"/>
      <c r="E83" s="241"/>
      <c r="F83" s="277" t="s">
        <v>29</v>
      </c>
      <c r="G83" s="221"/>
      <c r="H83" s="221"/>
      <c r="I83" s="221"/>
      <c r="J83" s="221"/>
      <c r="K83" s="221"/>
      <c r="L83" s="255"/>
      <c r="M83" s="313"/>
    </row>
    <row r="84" spans="1:14">
      <c r="B84" s="241"/>
      <c r="C84" s="242" t="s">
        <v>288</v>
      </c>
      <c r="D84" s="241"/>
      <c r="E84" s="241"/>
      <c r="F84" s="277" t="s">
        <v>29</v>
      </c>
      <c r="G84" s="424" t="s">
        <v>671</v>
      </c>
      <c r="H84" s="424" t="s">
        <v>671</v>
      </c>
      <c r="I84" s="424" t="s">
        <v>671</v>
      </c>
      <c r="J84" s="424" t="s">
        <v>671</v>
      </c>
      <c r="K84" s="424" t="s">
        <v>671</v>
      </c>
      <c r="L84" s="255"/>
      <c r="M84" s="313"/>
    </row>
    <row r="85" spans="1:14">
      <c r="B85" s="241"/>
      <c r="C85" s="241"/>
      <c r="D85" s="241"/>
      <c r="E85" s="241"/>
      <c r="G85" s="221"/>
      <c r="H85" s="221"/>
      <c r="I85" s="221"/>
      <c r="J85" s="221"/>
      <c r="K85" s="221"/>
      <c r="L85" s="255"/>
      <c r="M85" s="309"/>
    </row>
    <row r="86" spans="1:14">
      <c r="B86" s="241"/>
      <c r="C86" s="242" t="s">
        <v>227</v>
      </c>
      <c r="D86" s="241"/>
      <c r="E86" s="241"/>
      <c r="F86" s="277" t="s">
        <v>29</v>
      </c>
      <c r="G86" s="424" t="s">
        <v>671</v>
      </c>
      <c r="H86" s="424" t="s">
        <v>671</v>
      </c>
      <c r="I86" s="424" t="s">
        <v>671</v>
      </c>
      <c r="J86" s="424" t="s">
        <v>671</v>
      </c>
      <c r="K86" s="424" t="s">
        <v>671</v>
      </c>
      <c r="L86" s="255"/>
      <c r="M86" s="309"/>
    </row>
    <row r="87" spans="1:14">
      <c r="B87" s="241"/>
      <c r="C87" s="241"/>
      <c r="D87" s="241"/>
      <c r="E87" s="241"/>
      <c r="G87" s="244"/>
      <c r="H87" s="244"/>
      <c r="I87" s="244"/>
      <c r="J87" s="244"/>
      <c r="K87" s="244"/>
      <c r="L87" s="255"/>
      <c r="M87" s="309"/>
    </row>
    <row r="88" spans="1:14">
      <c r="B88" s="241"/>
      <c r="C88" s="242" t="s">
        <v>36</v>
      </c>
      <c r="D88" s="241"/>
      <c r="E88" s="241"/>
      <c r="F88" s="277" t="s">
        <v>29</v>
      </c>
      <c r="G88" s="424" t="s">
        <v>671</v>
      </c>
      <c r="H88" s="424" t="s">
        <v>671</v>
      </c>
      <c r="I88" s="424" t="s">
        <v>671</v>
      </c>
      <c r="J88" s="424" t="s">
        <v>671</v>
      </c>
      <c r="K88" s="424" t="s">
        <v>671</v>
      </c>
      <c r="L88" s="255"/>
      <c r="M88" s="312"/>
      <c r="N88" s="424" t="s">
        <v>671</v>
      </c>
    </row>
    <row r="89" spans="1:14">
      <c r="G89" s="277"/>
      <c r="H89" s="277"/>
      <c r="I89" s="277"/>
      <c r="J89" s="277"/>
      <c r="K89" s="277"/>
      <c r="L89" s="255"/>
      <c r="M89" s="309"/>
    </row>
    <row r="90" spans="1:14">
      <c r="A90" s="220"/>
      <c r="B90" s="285" t="s">
        <v>311</v>
      </c>
      <c r="C90" s="220"/>
      <c r="D90" s="220"/>
      <c r="E90" s="220"/>
      <c r="F90" s="220"/>
      <c r="G90" s="424" t="s">
        <v>671</v>
      </c>
      <c r="H90" s="424" t="s">
        <v>671</v>
      </c>
      <c r="I90" s="424" t="s">
        <v>671</v>
      </c>
      <c r="J90" s="424" t="s">
        <v>671</v>
      </c>
      <c r="K90" s="424" t="s">
        <v>671</v>
      </c>
      <c r="L90" s="259"/>
      <c r="M90" s="252"/>
      <c r="N90" s="220" t="s">
        <v>455</v>
      </c>
    </row>
    <row r="91" spans="1:14">
      <c r="G91" s="277"/>
      <c r="H91" s="277"/>
      <c r="I91" s="277"/>
      <c r="J91" s="277"/>
      <c r="K91" s="277"/>
      <c r="L91" s="255"/>
      <c r="M91" s="309"/>
    </row>
    <row r="92" spans="1:14">
      <c r="B92" s="241"/>
      <c r="C92" s="242" t="s">
        <v>276</v>
      </c>
      <c r="D92" s="241"/>
      <c r="E92" s="241"/>
      <c r="F92" s="277" t="s">
        <v>29</v>
      </c>
      <c r="G92" s="424" t="s">
        <v>671</v>
      </c>
      <c r="H92" s="424" t="s">
        <v>671</v>
      </c>
      <c r="I92" s="424" t="s">
        <v>671</v>
      </c>
      <c r="J92" s="424" t="s">
        <v>671</v>
      </c>
      <c r="K92" s="424" t="s">
        <v>671</v>
      </c>
      <c r="L92" s="255"/>
      <c r="M92" s="312"/>
    </row>
    <row r="93" spans="1:14">
      <c r="C93" s="242" t="s">
        <v>277</v>
      </c>
      <c r="D93" s="241"/>
      <c r="E93" s="241"/>
      <c r="F93" s="277" t="s">
        <v>29</v>
      </c>
      <c r="G93" s="424" t="s">
        <v>671</v>
      </c>
      <c r="H93" s="424" t="s">
        <v>671</v>
      </c>
      <c r="I93" s="424" t="s">
        <v>671</v>
      </c>
      <c r="J93" s="424" t="s">
        <v>671</v>
      </c>
      <c r="K93" s="424" t="s">
        <v>671</v>
      </c>
      <c r="L93" s="255"/>
      <c r="M93" s="312"/>
    </row>
    <row r="94" spans="1:14">
      <c r="C94" s="242" t="s">
        <v>278</v>
      </c>
      <c r="D94" s="241"/>
      <c r="E94" s="241"/>
      <c r="F94" s="277" t="s">
        <v>29</v>
      </c>
      <c r="G94" s="424" t="s">
        <v>671</v>
      </c>
      <c r="H94" s="424" t="s">
        <v>671</v>
      </c>
      <c r="I94" s="424" t="s">
        <v>671</v>
      </c>
      <c r="J94" s="424" t="s">
        <v>671</v>
      </c>
      <c r="K94" s="424" t="s">
        <v>671</v>
      </c>
      <c r="L94" s="255"/>
      <c r="M94" s="312"/>
    </row>
    <row r="95" spans="1:14">
      <c r="C95" s="242" t="s">
        <v>279</v>
      </c>
      <c r="D95" s="241"/>
      <c r="E95" s="241"/>
      <c r="F95" s="277" t="s">
        <v>29</v>
      </c>
      <c r="G95" s="424" t="s">
        <v>671</v>
      </c>
      <c r="H95" s="424" t="s">
        <v>671</v>
      </c>
      <c r="I95" s="424" t="s">
        <v>671</v>
      </c>
      <c r="J95" s="424" t="s">
        <v>671</v>
      </c>
      <c r="K95" s="424" t="s">
        <v>671</v>
      </c>
      <c r="L95" s="255"/>
      <c r="M95" s="312"/>
    </row>
    <row r="96" spans="1:14">
      <c r="C96" s="242" t="s">
        <v>280</v>
      </c>
      <c r="D96" s="241"/>
      <c r="E96" s="241"/>
      <c r="F96" s="277" t="s">
        <v>29</v>
      </c>
      <c r="G96" s="424" t="s">
        <v>671</v>
      </c>
      <c r="H96" s="424" t="s">
        <v>671</v>
      </c>
      <c r="I96" s="424" t="s">
        <v>671</v>
      </c>
      <c r="J96" s="424" t="s">
        <v>671</v>
      </c>
      <c r="K96" s="424" t="s">
        <v>671</v>
      </c>
      <c r="L96" s="255"/>
      <c r="M96" s="312"/>
    </row>
    <row r="97" spans="1:14">
      <c r="C97" s="242" t="s">
        <v>281</v>
      </c>
      <c r="D97" s="241"/>
      <c r="E97" s="241"/>
      <c r="F97" s="277" t="s">
        <v>29</v>
      </c>
      <c r="G97" s="424" t="s">
        <v>671</v>
      </c>
      <c r="H97" s="424" t="s">
        <v>671</v>
      </c>
      <c r="I97" s="424" t="s">
        <v>671</v>
      </c>
      <c r="J97" s="424" t="s">
        <v>671</v>
      </c>
      <c r="K97" s="424" t="s">
        <v>671</v>
      </c>
      <c r="L97" s="255"/>
      <c r="M97" s="312"/>
    </row>
    <row r="98" spans="1:14">
      <c r="C98" s="242" t="s">
        <v>282</v>
      </c>
      <c r="D98" s="241"/>
      <c r="E98" s="241"/>
      <c r="F98" s="277" t="s">
        <v>29</v>
      </c>
      <c r="G98" s="424" t="s">
        <v>671</v>
      </c>
      <c r="H98" s="424" t="s">
        <v>671</v>
      </c>
      <c r="I98" s="424" t="s">
        <v>671</v>
      </c>
      <c r="J98" s="424" t="s">
        <v>671</v>
      </c>
      <c r="K98" s="424" t="s">
        <v>671</v>
      </c>
      <c r="L98" s="255"/>
      <c r="M98" s="312"/>
    </row>
    <row r="99" spans="1:14">
      <c r="C99" s="242" t="s">
        <v>283</v>
      </c>
      <c r="D99" s="241"/>
      <c r="E99" s="241"/>
      <c r="F99" s="277" t="s">
        <v>29</v>
      </c>
      <c r="G99" s="424" t="s">
        <v>671</v>
      </c>
      <c r="H99" s="424" t="s">
        <v>671</v>
      </c>
      <c r="I99" s="424" t="s">
        <v>671</v>
      </c>
      <c r="J99" s="424" t="s">
        <v>671</v>
      </c>
      <c r="K99" s="424" t="s">
        <v>671</v>
      </c>
      <c r="L99" s="255"/>
      <c r="M99" s="312"/>
    </row>
    <row r="100" spans="1:14">
      <c r="C100" s="242" t="s">
        <v>284</v>
      </c>
      <c r="D100" s="241"/>
      <c r="E100" s="241"/>
      <c r="F100" s="277" t="s">
        <v>29</v>
      </c>
      <c r="G100" s="424" t="s">
        <v>671</v>
      </c>
      <c r="H100" s="424" t="s">
        <v>671</v>
      </c>
      <c r="I100" s="424" t="s">
        <v>671</v>
      </c>
      <c r="J100" s="424" t="s">
        <v>671</v>
      </c>
      <c r="K100" s="424" t="s">
        <v>671</v>
      </c>
      <c r="L100" s="255"/>
      <c r="M100" s="312"/>
    </row>
    <row r="101" spans="1:14">
      <c r="C101" s="242" t="s">
        <v>285</v>
      </c>
      <c r="D101" s="241"/>
      <c r="E101" s="241"/>
      <c r="F101" s="277" t="s">
        <v>29</v>
      </c>
      <c r="G101" s="424" t="s">
        <v>671</v>
      </c>
      <c r="H101" s="424" t="s">
        <v>671</v>
      </c>
      <c r="I101" s="424" t="s">
        <v>671</v>
      </c>
      <c r="J101" s="424" t="s">
        <v>671</v>
      </c>
      <c r="K101" s="424" t="s">
        <v>671</v>
      </c>
      <c r="L101" s="255"/>
      <c r="M101" s="312"/>
    </row>
    <row r="102" spans="1:14">
      <c r="C102" s="242" t="s">
        <v>286</v>
      </c>
      <c r="D102" s="241"/>
      <c r="E102" s="241"/>
      <c r="F102" s="277" t="s">
        <v>29</v>
      </c>
      <c r="G102" s="424" t="s">
        <v>671</v>
      </c>
      <c r="H102" s="424" t="s">
        <v>671</v>
      </c>
      <c r="I102" s="424" t="s">
        <v>671</v>
      </c>
      <c r="J102" s="424" t="s">
        <v>671</v>
      </c>
      <c r="K102" s="424" t="s">
        <v>671</v>
      </c>
      <c r="L102" s="255"/>
      <c r="M102" s="312"/>
    </row>
    <row r="103" spans="1:14">
      <c r="C103" s="242" t="s">
        <v>287</v>
      </c>
      <c r="D103" s="241"/>
      <c r="E103" s="241"/>
      <c r="F103" s="277" t="s">
        <v>29</v>
      </c>
      <c r="G103" s="221"/>
      <c r="H103" s="221"/>
      <c r="I103" s="221"/>
      <c r="J103" s="221"/>
      <c r="K103" s="221"/>
      <c r="L103" s="255"/>
      <c r="M103" s="312"/>
    </row>
    <row r="104" spans="1:14">
      <c r="C104" s="242" t="s">
        <v>288</v>
      </c>
      <c r="D104" s="241"/>
      <c r="E104" s="241"/>
      <c r="F104" s="277" t="s">
        <v>29</v>
      </c>
      <c r="G104" s="424" t="s">
        <v>671</v>
      </c>
      <c r="H104" s="424" t="s">
        <v>671</v>
      </c>
      <c r="I104" s="424" t="s">
        <v>671</v>
      </c>
      <c r="J104" s="424" t="s">
        <v>671</v>
      </c>
      <c r="K104" s="424" t="s">
        <v>671</v>
      </c>
      <c r="L104" s="255"/>
      <c r="M104" s="312"/>
    </row>
    <row r="105" spans="1:14">
      <c r="C105" s="241"/>
      <c r="D105" s="241"/>
      <c r="E105" s="241"/>
      <c r="G105" s="221"/>
      <c r="H105" s="221"/>
      <c r="I105" s="221"/>
      <c r="J105" s="221"/>
      <c r="K105" s="221"/>
      <c r="L105" s="255"/>
      <c r="M105" s="309"/>
    </row>
    <row r="106" spans="1:14">
      <c r="C106" s="242" t="s">
        <v>227</v>
      </c>
      <c r="D106" s="241"/>
      <c r="E106" s="241"/>
      <c r="F106" s="277" t="s">
        <v>29</v>
      </c>
      <c r="G106" s="424" t="s">
        <v>671</v>
      </c>
      <c r="H106" s="424" t="s">
        <v>671</v>
      </c>
      <c r="I106" s="424" t="s">
        <v>671</v>
      </c>
      <c r="J106" s="424" t="s">
        <v>671</v>
      </c>
      <c r="K106" s="424" t="s">
        <v>671</v>
      </c>
      <c r="L106" s="255"/>
      <c r="M106" s="309"/>
    </row>
    <row r="107" spans="1:14">
      <c r="C107" s="241"/>
      <c r="D107" s="241"/>
      <c r="E107" s="241"/>
      <c r="G107" s="244"/>
      <c r="H107" s="244"/>
      <c r="I107" s="244"/>
      <c r="J107" s="244"/>
      <c r="K107" s="244"/>
      <c r="L107" s="255"/>
      <c r="M107" s="309"/>
    </row>
    <row r="108" spans="1:14">
      <c r="C108" s="242" t="s">
        <v>36</v>
      </c>
      <c r="D108" s="241"/>
      <c r="E108" s="241"/>
      <c r="F108" s="277" t="s">
        <v>29</v>
      </c>
      <c r="G108" s="424" t="s">
        <v>671</v>
      </c>
      <c r="H108" s="424" t="s">
        <v>671</v>
      </c>
      <c r="I108" s="424" t="s">
        <v>671</v>
      </c>
      <c r="J108" s="424" t="s">
        <v>671</v>
      </c>
      <c r="K108" s="424" t="s">
        <v>671</v>
      </c>
      <c r="L108" s="255"/>
      <c r="M108" s="312"/>
      <c r="N108" s="424" t="s">
        <v>671</v>
      </c>
    </row>
    <row r="109" spans="1:14">
      <c r="G109" s="277"/>
      <c r="H109" s="277"/>
      <c r="I109" s="277"/>
      <c r="J109" s="277"/>
      <c r="K109" s="277"/>
      <c r="L109" s="255"/>
      <c r="M109" s="309"/>
    </row>
    <row r="110" spans="1:14">
      <c r="A110" s="259"/>
      <c r="B110" s="259" t="s">
        <v>422</v>
      </c>
      <c r="C110" s="259"/>
      <c r="D110" s="259"/>
      <c r="E110" s="259"/>
      <c r="F110" s="259"/>
      <c r="G110" s="424" t="s">
        <v>671</v>
      </c>
      <c r="H110" s="424" t="s">
        <v>671</v>
      </c>
      <c r="I110" s="424" t="s">
        <v>671</v>
      </c>
      <c r="J110" s="424" t="s">
        <v>671</v>
      </c>
      <c r="K110" s="424" t="s">
        <v>671</v>
      </c>
      <c r="L110" s="259"/>
      <c r="M110" s="252"/>
      <c r="N110" s="220" t="s">
        <v>455</v>
      </c>
    </row>
    <row r="111" spans="1:14">
      <c r="G111" s="277"/>
      <c r="H111" s="277"/>
      <c r="I111" s="277"/>
      <c r="J111" s="277"/>
      <c r="K111" s="277"/>
      <c r="L111" s="255"/>
      <c r="M111" s="309"/>
    </row>
    <row r="112" spans="1:14">
      <c r="B112" s="241"/>
      <c r="C112" s="242" t="s">
        <v>357</v>
      </c>
      <c r="D112" s="241"/>
      <c r="E112" s="241"/>
      <c r="F112" s="277" t="s">
        <v>29</v>
      </c>
      <c r="G112" s="424" t="s">
        <v>671</v>
      </c>
      <c r="H112" s="424" t="s">
        <v>671</v>
      </c>
      <c r="I112" s="424" t="s">
        <v>671</v>
      </c>
      <c r="J112" s="424" t="s">
        <v>671</v>
      </c>
      <c r="K112" s="424" t="s">
        <v>671</v>
      </c>
      <c r="L112" s="255"/>
      <c r="M112" s="276"/>
      <c r="N112" s="424" t="s">
        <v>671</v>
      </c>
    </row>
    <row r="113" spans="1:14">
      <c r="B113" s="241"/>
      <c r="C113" s="242" t="s">
        <v>179</v>
      </c>
      <c r="D113" s="241"/>
      <c r="E113" s="241"/>
      <c r="F113" s="277" t="s">
        <v>29</v>
      </c>
      <c r="G113" s="424" t="s">
        <v>671</v>
      </c>
      <c r="H113" s="424" t="s">
        <v>671</v>
      </c>
      <c r="I113" s="424" t="s">
        <v>671</v>
      </c>
      <c r="J113" s="424" t="s">
        <v>671</v>
      </c>
      <c r="K113" s="424" t="s">
        <v>671</v>
      </c>
      <c r="L113" s="255"/>
      <c r="M113" s="276"/>
      <c r="N113" s="424" t="s">
        <v>671</v>
      </c>
    </row>
    <row r="114" spans="1:14">
      <c r="G114" s="277"/>
      <c r="H114" s="277"/>
      <c r="I114" s="277"/>
      <c r="J114" s="277"/>
      <c r="K114" s="277"/>
      <c r="L114" s="255"/>
      <c r="M114" s="247"/>
    </row>
    <row r="115" spans="1:14">
      <c r="G115" s="277"/>
      <c r="H115" s="277"/>
      <c r="I115" s="277"/>
      <c r="J115" s="277"/>
      <c r="K115" s="277"/>
      <c r="L115" s="255"/>
    </row>
    <row r="116" spans="1:14">
      <c r="A116" s="259"/>
      <c r="B116" s="259" t="s">
        <v>314</v>
      </c>
      <c r="C116" s="259"/>
      <c r="D116" s="259"/>
      <c r="E116" s="259"/>
      <c r="F116" s="259"/>
      <c r="G116" s="424" t="s">
        <v>671</v>
      </c>
      <c r="H116" s="424" t="s">
        <v>671</v>
      </c>
      <c r="I116" s="424" t="s">
        <v>671</v>
      </c>
      <c r="J116" s="424" t="s">
        <v>671</v>
      </c>
      <c r="K116" s="424" t="s">
        <v>671</v>
      </c>
      <c r="L116" s="259"/>
      <c r="M116" s="252"/>
      <c r="N116" s="220" t="s">
        <v>455</v>
      </c>
    </row>
    <row r="117" spans="1:14">
      <c r="G117" s="277"/>
      <c r="H117" s="277"/>
      <c r="I117" s="255"/>
      <c r="J117" s="277"/>
      <c r="K117" s="277"/>
      <c r="L117" s="255"/>
    </row>
    <row r="118" spans="1:14">
      <c r="B118" s="248"/>
      <c r="C118" s="249" t="s">
        <v>264</v>
      </c>
      <c r="D118" s="248"/>
      <c r="E118" s="248"/>
      <c r="G118" s="424" t="s">
        <v>671</v>
      </c>
      <c r="H118" s="424" t="s">
        <v>671</v>
      </c>
      <c r="I118" s="424" t="s">
        <v>671</v>
      </c>
      <c r="J118" s="424" t="s">
        <v>671</v>
      </c>
      <c r="K118" s="424" t="s">
        <v>671</v>
      </c>
      <c r="L118" s="255"/>
      <c r="M118" s="314"/>
    </row>
    <row r="119" spans="1:14">
      <c r="B119" s="248"/>
      <c r="C119" s="249" t="s">
        <v>265</v>
      </c>
      <c r="D119" s="248"/>
      <c r="E119" s="248"/>
      <c r="G119" s="424" t="s">
        <v>671</v>
      </c>
      <c r="H119" s="424" t="s">
        <v>671</v>
      </c>
      <c r="I119" s="424" t="s">
        <v>671</v>
      </c>
      <c r="J119" s="424" t="s">
        <v>671</v>
      </c>
      <c r="K119" s="424" t="s">
        <v>671</v>
      </c>
      <c r="L119" s="255"/>
      <c r="M119" s="251"/>
    </row>
    <row r="120" spans="1:14">
      <c r="B120" s="248"/>
      <c r="C120" s="249" t="s">
        <v>266</v>
      </c>
      <c r="D120" s="248"/>
      <c r="E120" s="248"/>
      <c r="G120" s="424" t="s">
        <v>671</v>
      </c>
      <c r="H120" s="424" t="s">
        <v>671</v>
      </c>
      <c r="I120" s="424" t="s">
        <v>671</v>
      </c>
      <c r="J120" s="424" t="s">
        <v>671</v>
      </c>
      <c r="K120" s="424" t="s">
        <v>671</v>
      </c>
      <c r="L120" s="255"/>
      <c r="M120" s="251"/>
    </row>
    <row r="121" spans="1:14">
      <c r="B121" s="248"/>
      <c r="C121" s="249" t="s">
        <v>267</v>
      </c>
      <c r="D121" s="248"/>
      <c r="E121" s="248"/>
      <c r="G121" s="424" t="s">
        <v>671</v>
      </c>
      <c r="H121" s="424" t="s">
        <v>671</v>
      </c>
      <c r="I121" s="424" t="s">
        <v>671</v>
      </c>
      <c r="J121" s="424" t="s">
        <v>671</v>
      </c>
      <c r="K121" s="424" t="s">
        <v>671</v>
      </c>
      <c r="L121" s="255"/>
      <c r="M121" s="314"/>
    </row>
    <row r="122" spans="1:14">
      <c r="B122" s="248"/>
      <c r="C122" s="249" t="s">
        <v>268</v>
      </c>
      <c r="D122" s="248"/>
      <c r="E122" s="248"/>
      <c r="G122" s="424" t="s">
        <v>671</v>
      </c>
      <c r="H122" s="424" t="s">
        <v>671</v>
      </c>
      <c r="I122" s="424" t="s">
        <v>671</v>
      </c>
      <c r="J122" s="424" t="s">
        <v>671</v>
      </c>
      <c r="K122" s="424" t="s">
        <v>671</v>
      </c>
      <c r="L122" s="255"/>
      <c r="M122" s="314"/>
    </row>
    <row r="123" spans="1:14">
      <c r="B123" s="248"/>
      <c r="C123" s="249" t="s">
        <v>269</v>
      </c>
      <c r="D123" s="248"/>
      <c r="E123" s="248"/>
      <c r="G123" s="424" t="s">
        <v>671</v>
      </c>
      <c r="H123" s="424" t="s">
        <v>671</v>
      </c>
      <c r="I123" s="424" t="s">
        <v>671</v>
      </c>
      <c r="J123" s="424" t="s">
        <v>671</v>
      </c>
      <c r="K123" s="424" t="s">
        <v>671</v>
      </c>
      <c r="L123" s="255"/>
      <c r="M123" s="314"/>
    </row>
    <row r="124" spans="1:14">
      <c r="B124" s="248"/>
      <c r="C124" s="249" t="s">
        <v>270</v>
      </c>
      <c r="D124" s="248"/>
      <c r="E124" s="248"/>
      <c r="G124" s="424" t="s">
        <v>671</v>
      </c>
      <c r="H124" s="424" t="s">
        <v>671</v>
      </c>
      <c r="I124" s="424" t="s">
        <v>671</v>
      </c>
      <c r="J124" s="424" t="s">
        <v>671</v>
      </c>
      <c r="K124" s="424" t="s">
        <v>671</v>
      </c>
      <c r="L124" s="255"/>
      <c r="M124" s="314"/>
    </row>
    <row r="125" spans="1:14">
      <c r="B125" s="248"/>
      <c r="C125" s="249" t="s">
        <v>30</v>
      </c>
      <c r="D125" s="248"/>
      <c r="E125" s="248"/>
      <c r="G125" s="424" t="s">
        <v>671</v>
      </c>
      <c r="H125" s="424" t="s">
        <v>671</v>
      </c>
      <c r="I125" s="424" t="s">
        <v>671</v>
      </c>
      <c r="J125" s="424" t="s">
        <v>671</v>
      </c>
      <c r="K125" s="424" t="s">
        <v>671</v>
      </c>
      <c r="L125" s="255"/>
      <c r="M125" s="314"/>
    </row>
    <row r="126" spans="1:14">
      <c r="B126" s="248"/>
      <c r="C126" s="249" t="s">
        <v>271</v>
      </c>
      <c r="D126" s="248"/>
      <c r="E126" s="248"/>
      <c r="G126" s="424" t="s">
        <v>671</v>
      </c>
      <c r="H126" s="424" t="s">
        <v>671</v>
      </c>
      <c r="I126" s="424" t="s">
        <v>671</v>
      </c>
      <c r="J126" s="424" t="s">
        <v>671</v>
      </c>
      <c r="K126" s="424" t="s">
        <v>671</v>
      </c>
      <c r="L126" s="255"/>
      <c r="M126" s="314"/>
    </row>
    <row r="127" spans="1:14">
      <c r="B127" s="248"/>
      <c r="C127" s="249" t="s">
        <v>272</v>
      </c>
      <c r="D127" s="248"/>
      <c r="E127" s="248"/>
      <c r="G127" s="424" t="s">
        <v>671</v>
      </c>
      <c r="H127" s="424" t="s">
        <v>671</v>
      </c>
      <c r="I127" s="424" t="s">
        <v>671</v>
      </c>
      <c r="J127" s="424" t="s">
        <v>671</v>
      </c>
      <c r="K127" s="424" t="s">
        <v>671</v>
      </c>
      <c r="L127" s="255"/>
      <c r="M127" s="314"/>
    </row>
    <row r="128" spans="1:14">
      <c r="B128" s="248"/>
      <c r="C128" s="249" t="s">
        <v>273</v>
      </c>
      <c r="D128" s="248"/>
      <c r="E128" s="248"/>
      <c r="G128" s="424" t="s">
        <v>671</v>
      </c>
      <c r="H128" s="424" t="s">
        <v>671</v>
      </c>
      <c r="I128" s="424" t="s">
        <v>671</v>
      </c>
      <c r="J128" s="424" t="s">
        <v>671</v>
      </c>
      <c r="K128" s="424" t="s">
        <v>671</v>
      </c>
      <c r="L128" s="255"/>
      <c r="M128" s="314"/>
    </row>
    <row r="129" spans="1:14">
      <c r="B129" s="248"/>
      <c r="C129" s="248"/>
      <c r="D129" s="248"/>
      <c r="E129" s="248"/>
      <c r="G129" s="221"/>
      <c r="H129" s="221"/>
      <c r="I129" s="221"/>
      <c r="J129" s="221"/>
      <c r="K129" s="221"/>
      <c r="L129" s="255"/>
      <c r="M129" s="314"/>
    </row>
    <row r="130" spans="1:14">
      <c r="B130" s="248"/>
      <c r="C130" s="249" t="s">
        <v>227</v>
      </c>
      <c r="D130" s="248"/>
      <c r="E130" s="248"/>
      <c r="G130" s="424" t="s">
        <v>671</v>
      </c>
      <c r="H130" s="424" t="s">
        <v>671</v>
      </c>
      <c r="I130" s="424" t="s">
        <v>671</v>
      </c>
      <c r="J130" s="424" t="s">
        <v>671</v>
      </c>
      <c r="K130" s="424" t="s">
        <v>671</v>
      </c>
      <c r="L130" s="255"/>
      <c r="M130" s="314"/>
    </row>
    <row r="131" spans="1:14">
      <c r="B131" s="248"/>
      <c r="C131" s="248"/>
      <c r="D131" s="248"/>
      <c r="E131" s="248"/>
      <c r="G131" s="221"/>
      <c r="H131" s="221"/>
      <c r="I131" s="221"/>
      <c r="J131" s="221"/>
      <c r="K131" s="221"/>
      <c r="L131" s="255"/>
    </row>
    <row r="132" spans="1:14">
      <c r="B132" s="248"/>
      <c r="C132" s="249" t="s">
        <v>36</v>
      </c>
      <c r="D132" s="248"/>
      <c r="E132" s="248"/>
      <c r="G132" s="424" t="s">
        <v>671</v>
      </c>
      <c r="H132" s="424" t="s">
        <v>671</v>
      </c>
      <c r="I132" s="424" t="s">
        <v>671</v>
      </c>
      <c r="J132" s="424" t="s">
        <v>671</v>
      </c>
      <c r="K132" s="424" t="s">
        <v>671</v>
      </c>
      <c r="L132" s="255"/>
      <c r="M132" s="314"/>
    </row>
    <row r="133" spans="1:14">
      <c r="G133" s="277"/>
      <c r="H133" s="277"/>
      <c r="I133" s="255"/>
      <c r="J133" s="277"/>
      <c r="K133" s="277"/>
      <c r="L133" s="255"/>
    </row>
    <row r="134" spans="1:14">
      <c r="A134" s="259"/>
      <c r="B134" s="259" t="s">
        <v>315</v>
      </c>
      <c r="C134" s="259"/>
      <c r="D134" s="259"/>
      <c r="E134" s="259"/>
      <c r="F134" s="259"/>
      <c r="G134" s="424" t="s">
        <v>671</v>
      </c>
      <c r="H134" s="424" t="s">
        <v>671</v>
      </c>
      <c r="I134" s="424" t="s">
        <v>671</v>
      </c>
      <c r="J134" s="424" t="s">
        <v>671</v>
      </c>
      <c r="K134" s="424" t="s">
        <v>671</v>
      </c>
      <c r="L134" s="259"/>
      <c r="M134" s="252"/>
      <c r="N134" s="220" t="s">
        <v>455</v>
      </c>
    </row>
    <row r="135" spans="1:14">
      <c r="B135" s="250"/>
      <c r="C135" s="248"/>
      <c r="D135" s="248"/>
      <c r="E135" s="248"/>
      <c r="G135" s="255"/>
      <c r="H135" s="277"/>
      <c r="I135" s="255"/>
      <c r="J135" s="255"/>
      <c r="K135" s="255"/>
      <c r="L135" s="255"/>
    </row>
    <row r="136" spans="1:14">
      <c r="B136" s="248"/>
      <c r="C136" s="249" t="s">
        <v>264</v>
      </c>
      <c r="D136" s="248"/>
      <c r="E136" s="248"/>
      <c r="G136" s="424" t="s">
        <v>671</v>
      </c>
      <c r="H136" s="424" t="s">
        <v>671</v>
      </c>
      <c r="I136" s="424" t="s">
        <v>671</v>
      </c>
      <c r="J136" s="424" t="s">
        <v>671</v>
      </c>
      <c r="K136" s="424" t="s">
        <v>671</v>
      </c>
      <c r="L136" s="255"/>
      <c r="M136" s="314"/>
    </row>
    <row r="137" spans="1:14">
      <c r="B137" s="248"/>
      <c r="C137" s="249" t="s">
        <v>265</v>
      </c>
      <c r="D137" s="248"/>
      <c r="E137" s="248"/>
      <c r="G137" s="424" t="s">
        <v>671</v>
      </c>
      <c r="H137" s="424" t="s">
        <v>671</v>
      </c>
      <c r="I137" s="424" t="s">
        <v>671</v>
      </c>
      <c r="J137" s="424" t="s">
        <v>671</v>
      </c>
      <c r="K137" s="424" t="s">
        <v>671</v>
      </c>
      <c r="L137" s="255"/>
      <c r="M137" s="314"/>
    </row>
    <row r="138" spans="1:14">
      <c r="B138" s="248"/>
      <c r="C138" s="249" t="s">
        <v>266</v>
      </c>
      <c r="D138" s="248"/>
      <c r="E138" s="248"/>
      <c r="G138" s="424" t="s">
        <v>671</v>
      </c>
      <c r="H138" s="424" t="s">
        <v>671</v>
      </c>
      <c r="I138" s="424" t="s">
        <v>671</v>
      </c>
      <c r="J138" s="424" t="s">
        <v>671</v>
      </c>
      <c r="K138" s="424" t="s">
        <v>671</v>
      </c>
      <c r="L138" s="255"/>
      <c r="M138" s="314"/>
    </row>
    <row r="139" spans="1:14">
      <c r="B139" s="248"/>
      <c r="C139" s="249" t="s">
        <v>267</v>
      </c>
      <c r="D139" s="248"/>
      <c r="E139" s="248"/>
      <c r="G139" s="424" t="s">
        <v>671</v>
      </c>
      <c r="H139" s="424" t="s">
        <v>671</v>
      </c>
      <c r="I139" s="424" t="s">
        <v>671</v>
      </c>
      <c r="J139" s="424" t="s">
        <v>671</v>
      </c>
      <c r="K139" s="424" t="s">
        <v>671</v>
      </c>
      <c r="L139" s="255"/>
      <c r="M139" s="314"/>
    </row>
    <row r="140" spans="1:14">
      <c r="B140" s="248"/>
      <c r="C140" s="249" t="s">
        <v>268</v>
      </c>
      <c r="D140" s="248"/>
      <c r="E140" s="248"/>
      <c r="G140" s="424" t="s">
        <v>671</v>
      </c>
      <c r="H140" s="424" t="s">
        <v>671</v>
      </c>
      <c r="I140" s="424" t="s">
        <v>671</v>
      </c>
      <c r="J140" s="424" t="s">
        <v>671</v>
      </c>
      <c r="K140" s="424" t="s">
        <v>671</v>
      </c>
      <c r="L140" s="255"/>
      <c r="M140" s="314"/>
    </row>
    <row r="141" spans="1:14">
      <c r="B141" s="248"/>
      <c r="C141" s="249" t="s">
        <v>269</v>
      </c>
      <c r="D141" s="248"/>
      <c r="E141" s="248"/>
      <c r="G141" s="424" t="s">
        <v>671</v>
      </c>
      <c r="H141" s="424" t="s">
        <v>671</v>
      </c>
      <c r="I141" s="424" t="s">
        <v>671</v>
      </c>
      <c r="J141" s="424" t="s">
        <v>671</v>
      </c>
      <c r="K141" s="424" t="s">
        <v>671</v>
      </c>
      <c r="L141" s="255"/>
      <c r="M141" s="314"/>
    </row>
    <row r="142" spans="1:14">
      <c r="B142" s="248"/>
      <c r="C142" s="249" t="s">
        <v>270</v>
      </c>
      <c r="D142" s="248"/>
      <c r="E142" s="248"/>
      <c r="G142" s="424" t="s">
        <v>671</v>
      </c>
      <c r="H142" s="424" t="s">
        <v>671</v>
      </c>
      <c r="I142" s="424" t="s">
        <v>671</v>
      </c>
      <c r="J142" s="424" t="s">
        <v>671</v>
      </c>
      <c r="K142" s="424" t="s">
        <v>671</v>
      </c>
      <c r="L142" s="255"/>
      <c r="M142" s="314"/>
    </row>
    <row r="143" spans="1:14">
      <c r="B143" s="248"/>
      <c r="C143" s="249" t="s">
        <v>30</v>
      </c>
      <c r="D143" s="248"/>
      <c r="E143" s="248"/>
      <c r="G143" s="424" t="s">
        <v>671</v>
      </c>
      <c r="H143" s="424" t="s">
        <v>671</v>
      </c>
      <c r="I143" s="424" t="s">
        <v>671</v>
      </c>
      <c r="J143" s="424" t="s">
        <v>671</v>
      </c>
      <c r="K143" s="424" t="s">
        <v>671</v>
      </c>
      <c r="L143" s="255"/>
      <c r="M143" s="314"/>
    </row>
    <row r="144" spans="1:14">
      <c r="B144" s="248"/>
      <c r="C144" s="249" t="s">
        <v>271</v>
      </c>
      <c r="D144" s="248"/>
      <c r="E144" s="248"/>
      <c r="G144" s="424" t="s">
        <v>671</v>
      </c>
      <c r="H144" s="424" t="s">
        <v>671</v>
      </c>
      <c r="I144" s="424" t="s">
        <v>671</v>
      </c>
      <c r="J144" s="424" t="s">
        <v>671</v>
      </c>
      <c r="K144" s="424" t="s">
        <v>671</v>
      </c>
      <c r="L144" s="255"/>
      <c r="M144" s="314"/>
    </row>
    <row r="145" spans="1:14">
      <c r="B145" s="248"/>
      <c r="C145" s="249" t="s">
        <v>272</v>
      </c>
      <c r="D145" s="248"/>
      <c r="E145" s="248"/>
      <c r="G145" s="424" t="s">
        <v>671</v>
      </c>
      <c r="H145" s="424" t="s">
        <v>671</v>
      </c>
      <c r="I145" s="424" t="s">
        <v>671</v>
      </c>
      <c r="J145" s="424" t="s">
        <v>671</v>
      </c>
      <c r="K145" s="424" t="s">
        <v>671</v>
      </c>
      <c r="L145" s="255"/>
      <c r="M145" s="314"/>
    </row>
    <row r="146" spans="1:14">
      <c r="B146" s="248"/>
      <c r="C146" s="249" t="s">
        <v>273</v>
      </c>
      <c r="D146" s="248"/>
      <c r="E146" s="248"/>
      <c r="G146" s="424" t="s">
        <v>671</v>
      </c>
      <c r="H146" s="424" t="s">
        <v>671</v>
      </c>
      <c r="I146" s="424" t="s">
        <v>671</v>
      </c>
      <c r="J146" s="424" t="s">
        <v>671</v>
      </c>
      <c r="K146" s="424" t="s">
        <v>671</v>
      </c>
      <c r="L146" s="255"/>
      <c r="M146" s="314"/>
    </row>
    <row r="147" spans="1:14">
      <c r="B147" s="248"/>
      <c r="C147" s="248"/>
      <c r="D147" s="248"/>
      <c r="E147" s="248"/>
      <c r="G147" s="221"/>
      <c r="H147" s="221"/>
      <c r="I147" s="221"/>
      <c r="J147" s="221"/>
      <c r="K147" s="221"/>
      <c r="L147" s="255"/>
      <c r="M147" s="314"/>
    </row>
    <row r="148" spans="1:14">
      <c r="B148" s="248"/>
      <c r="C148" s="249" t="s">
        <v>227</v>
      </c>
      <c r="D148" s="248"/>
      <c r="E148" s="248"/>
      <c r="G148" s="424" t="s">
        <v>671</v>
      </c>
      <c r="H148" s="424" t="s">
        <v>671</v>
      </c>
      <c r="I148" s="424" t="s">
        <v>671</v>
      </c>
      <c r="J148" s="424" t="s">
        <v>671</v>
      </c>
      <c r="K148" s="424" t="s">
        <v>671</v>
      </c>
      <c r="L148" s="255"/>
      <c r="M148" s="314"/>
    </row>
    <row r="149" spans="1:14">
      <c r="B149" s="248"/>
      <c r="C149" s="248"/>
      <c r="D149" s="248"/>
      <c r="E149" s="248"/>
      <c r="G149" s="221"/>
      <c r="H149" s="221"/>
      <c r="I149" s="221"/>
      <c r="J149" s="221"/>
      <c r="K149" s="221"/>
      <c r="L149" s="255"/>
      <c r="M149" s="314"/>
    </row>
    <row r="150" spans="1:14">
      <c r="B150" s="248"/>
      <c r="C150" s="249" t="s">
        <v>36</v>
      </c>
      <c r="D150" s="248"/>
      <c r="E150" s="248"/>
      <c r="G150" s="424" t="s">
        <v>671</v>
      </c>
      <c r="H150" s="424" t="s">
        <v>671</v>
      </c>
      <c r="I150" s="424" t="s">
        <v>671</v>
      </c>
      <c r="J150" s="424" t="s">
        <v>671</v>
      </c>
      <c r="K150" s="424" t="s">
        <v>671</v>
      </c>
      <c r="L150" s="255"/>
      <c r="M150" s="314"/>
    </row>
    <row r="151" spans="1:14">
      <c r="G151" s="277"/>
      <c r="H151" s="277"/>
      <c r="I151" s="255"/>
      <c r="J151" s="277"/>
      <c r="K151" s="277"/>
      <c r="L151" s="255"/>
    </row>
    <row r="152" spans="1:14">
      <c r="A152" s="259"/>
      <c r="B152" s="259" t="s">
        <v>316</v>
      </c>
      <c r="C152" s="259"/>
      <c r="D152" s="259"/>
      <c r="E152" s="259"/>
      <c r="F152" s="259"/>
      <c r="G152" s="424" t="s">
        <v>671</v>
      </c>
      <c r="H152" s="424" t="s">
        <v>671</v>
      </c>
      <c r="I152" s="424" t="s">
        <v>671</v>
      </c>
      <c r="J152" s="424" t="s">
        <v>671</v>
      </c>
      <c r="K152" s="424" t="s">
        <v>671</v>
      </c>
      <c r="L152" s="259"/>
      <c r="M152" s="252"/>
      <c r="N152" s="252"/>
    </row>
    <row r="153" spans="1:14">
      <c r="G153" s="277"/>
      <c r="H153" s="277"/>
      <c r="I153" s="255"/>
      <c r="J153" s="277"/>
      <c r="K153" s="277"/>
      <c r="L153" s="255"/>
    </row>
    <row r="154" spans="1:14">
      <c r="B154" s="248"/>
      <c r="C154" s="249" t="s">
        <v>276</v>
      </c>
      <c r="D154" s="248"/>
      <c r="E154" s="248"/>
      <c r="G154" s="424" t="s">
        <v>671</v>
      </c>
      <c r="H154" s="424" t="s">
        <v>671</v>
      </c>
      <c r="I154" s="424" t="s">
        <v>671</v>
      </c>
      <c r="J154" s="424" t="s">
        <v>671</v>
      </c>
      <c r="K154" s="424" t="s">
        <v>671</v>
      </c>
      <c r="L154" s="255"/>
      <c r="M154" s="314"/>
    </row>
    <row r="155" spans="1:14">
      <c r="B155" s="248"/>
      <c r="C155" s="249" t="s">
        <v>277</v>
      </c>
      <c r="D155" s="248"/>
      <c r="E155" s="248"/>
      <c r="G155" s="424" t="s">
        <v>671</v>
      </c>
      <c r="H155" s="424" t="s">
        <v>671</v>
      </c>
      <c r="I155" s="424" t="s">
        <v>671</v>
      </c>
      <c r="J155" s="424" t="s">
        <v>671</v>
      </c>
      <c r="K155" s="424" t="s">
        <v>671</v>
      </c>
      <c r="L155" s="255"/>
      <c r="M155" s="314"/>
    </row>
    <row r="156" spans="1:14">
      <c r="B156" s="248"/>
      <c r="C156" s="249" t="s">
        <v>278</v>
      </c>
      <c r="D156" s="248"/>
      <c r="E156" s="248"/>
      <c r="G156" s="424" t="s">
        <v>671</v>
      </c>
      <c r="H156" s="424" t="s">
        <v>671</v>
      </c>
      <c r="I156" s="424" t="s">
        <v>671</v>
      </c>
      <c r="J156" s="424" t="s">
        <v>671</v>
      </c>
      <c r="K156" s="424" t="s">
        <v>671</v>
      </c>
      <c r="L156" s="255"/>
      <c r="M156" s="314"/>
    </row>
    <row r="157" spans="1:14">
      <c r="B157" s="248"/>
      <c r="C157" s="249" t="s">
        <v>279</v>
      </c>
      <c r="D157" s="248"/>
      <c r="E157" s="248"/>
      <c r="G157" s="424" t="s">
        <v>671</v>
      </c>
      <c r="H157" s="424" t="s">
        <v>671</v>
      </c>
      <c r="I157" s="424" t="s">
        <v>671</v>
      </c>
      <c r="J157" s="424" t="s">
        <v>671</v>
      </c>
      <c r="K157" s="424" t="s">
        <v>671</v>
      </c>
      <c r="L157" s="255"/>
      <c r="M157" s="314"/>
    </row>
    <row r="158" spans="1:14">
      <c r="B158" s="248"/>
      <c r="C158" s="249" t="s">
        <v>280</v>
      </c>
      <c r="D158" s="248"/>
      <c r="E158" s="248"/>
      <c r="G158" s="424" t="s">
        <v>671</v>
      </c>
      <c r="H158" s="424" t="s">
        <v>671</v>
      </c>
      <c r="I158" s="424" t="s">
        <v>671</v>
      </c>
      <c r="J158" s="424" t="s">
        <v>671</v>
      </c>
      <c r="K158" s="424" t="s">
        <v>671</v>
      </c>
      <c r="L158" s="255"/>
      <c r="M158" s="314"/>
    </row>
    <row r="159" spans="1:14">
      <c r="B159" s="248"/>
      <c r="C159" s="249" t="s">
        <v>281</v>
      </c>
      <c r="D159" s="248"/>
      <c r="E159" s="248"/>
      <c r="G159" s="424" t="s">
        <v>671</v>
      </c>
      <c r="H159" s="424" t="s">
        <v>671</v>
      </c>
      <c r="I159" s="424" t="s">
        <v>671</v>
      </c>
      <c r="J159" s="424" t="s">
        <v>671</v>
      </c>
      <c r="K159" s="424" t="s">
        <v>671</v>
      </c>
      <c r="L159" s="255"/>
      <c r="M159" s="314"/>
    </row>
    <row r="160" spans="1:14">
      <c r="B160" s="248"/>
      <c r="C160" s="249" t="s">
        <v>282</v>
      </c>
      <c r="D160" s="248"/>
      <c r="E160" s="248"/>
      <c r="G160" s="424" t="s">
        <v>671</v>
      </c>
      <c r="H160" s="424" t="s">
        <v>671</v>
      </c>
      <c r="I160" s="424" t="s">
        <v>671</v>
      </c>
      <c r="J160" s="424" t="s">
        <v>671</v>
      </c>
      <c r="K160" s="424" t="s">
        <v>671</v>
      </c>
      <c r="L160" s="255"/>
      <c r="M160" s="314"/>
    </row>
    <row r="161" spans="1:14">
      <c r="B161" s="248"/>
      <c r="C161" s="249" t="s">
        <v>283</v>
      </c>
      <c r="D161" s="248"/>
      <c r="E161" s="248"/>
      <c r="G161" s="424" t="s">
        <v>671</v>
      </c>
      <c r="H161" s="424" t="s">
        <v>671</v>
      </c>
      <c r="I161" s="424" t="s">
        <v>671</v>
      </c>
      <c r="J161" s="424" t="s">
        <v>671</v>
      </c>
      <c r="K161" s="424" t="s">
        <v>671</v>
      </c>
      <c r="L161" s="255"/>
      <c r="M161" s="314"/>
    </row>
    <row r="162" spans="1:14">
      <c r="B162" s="248"/>
      <c r="C162" s="249" t="s">
        <v>284</v>
      </c>
      <c r="D162" s="248"/>
      <c r="E162" s="248"/>
      <c r="G162" s="424" t="s">
        <v>671</v>
      </c>
      <c r="H162" s="424" t="s">
        <v>671</v>
      </c>
      <c r="I162" s="424" t="s">
        <v>671</v>
      </c>
      <c r="J162" s="424" t="s">
        <v>671</v>
      </c>
      <c r="K162" s="424" t="s">
        <v>671</v>
      </c>
      <c r="L162" s="255"/>
    </row>
    <row r="163" spans="1:14">
      <c r="B163" s="248"/>
      <c r="C163" s="249" t="s">
        <v>285</v>
      </c>
      <c r="D163" s="248"/>
      <c r="E163" s="248"/>
      <c r="G163" s="424" t="s">
        <v>671</v>
      </c>
      <c r="H163" s="424" t="s">
        <v>671</v>
      </c>
      <c r="I163" s="424" t="s">
        <v>671</v>
      </c>
      <c r="J163" s="424" t="s">
        <v>671</v>
      </c>
      <c r="K163" s="424" t="s">
        <v>671</v>
      </c>
      <c r="L163" s="255"/>
      <c r="M163" s="314"/>
    </row>
    <row r="164" spans="1:14">
      <c r="B164" s="248"/>
      <c r="C164" s="249" t="s">
        <v>286</v>
      </c>
      <c r="D164" s="248"/>
      <c r="E164" s="248"/>
      <c r="G164" s="424" t="s">
        <v>671</v>
      </c>
      <c r="H164" s="424" t="s">
        <v>671</v>
      </c>
      <c r="I164" s="424" t="s">
        <v>671</v>
      </c>
      <c r="J164" s="424" t="s">
        <v>671</v>
      </c>
      <c r="K164" s="424" t="s">
        <v>671</v>
      </c>
      <c r="L164" s="255"/>
      <c r="M164" s="314"/>
    </row>
    <row r="165" spans="1:14">
      <c r="B165" s="248"/>
      <c r="C165" s="249" t="s">
        <v>287</v>
      </c>
      <c r="D165" s="248"/>
      <c r="E165" s="248"/>
      <c r="G165" s="221"/>
      <c r="H165" s="221"/>
      <c r="I165" s="221"/>
      <c r="J165" s="221"/>
      <c r="K165" s="221"/>
      <c r="L165" s="255"/>
      <c r="M165" s="314"/>
    </row>
    <row r="166" spans="1:14">
      <c r="B166" s="248"/>
      <c r="C166" s="249" t="s">
        <v>288</v>
      </c>
      <c r="D166" s="248"/>
      <c r="E166" s="248"/>
      <c r="G166" s="424" t="s">
        <v>671</v>
      </c>
      <c r="H166" s="424" t="s">
        <v>671</v>
      </c>
      <c r="I166" s="424" t="s">
        <v>671</v>
      </c>
      <c r="J166" s="424" t="s">
        <v>671</v>
      </c>
      <c r="K166" s="424" t="s">
        <v>671</v>
      </c>
      <c r="L166" s="255"/>
      <c r="M166" s="314"/>
    </row>
    <row r="167" spans="1:14">
      <c r="B167" s="248"/>
      <c r="C167" s="248"/>
      <c r="D167" s="248"/>
      <c r="E167" s="248"/>
      <c r="G167" s="221"/>
      <c r="H167" s="221"/>
      <c r="I167" s="221"/>
      <c r="J167" s="221"/>
      <c r="K167" s="221"/>
      <c r="L167" s="255"/>
      <c r="M167" s="314"/>
    </row>
    <row r="168" spans="1:14">
      <c r="B168" s="248"/>
      <c r="C168" s="249" t="s">
        <v>227</v>
      </c>
      <c r="D168" s="248"/>
      <c r="E168" s="248"/>
      <c r="G168" s="424" t="s">
        <v>671</v>
      </c>
      <c r="H168" s="424" t="s">
        <v>671</v>
      </c>
      <c r="I168" s="424" t="s">
        <v>671</v>
      </c>
      <c r="J168" s="424" t="s">
        <v>671</v>
      </c>
      <c r="K168" s="424" t="s">
        <v>671</v>
      </c>
      <c r="L168" s="255"/>
      <c r="M168" s="314"/>
    </row>
    <row r="169" spans="1:14">
      <c r="B169" s="248"/>
      <c r="C169" s="248"/>
      <c r="D169" s="248"/>
      <c r="E169" s="248"/>
      <c r="G169" s="251"/>
      <c r="H169" s="277"/>
      <c r="I169" s="251"/>
      <c r="J169" s="251"/>
      <c r="K169" s="251"/>
      <c r="L169" s="255"/>
    </row>
    <row r="170" spans="1:14">
      <c r="B170" s="248"/>
      <c r="C170" s="249" t="s">
        <v>36</v>
      </c>
      <c r="D170" s="248"/>
      <c r="E170" s="248"/>
      <c r="G170" s="424" t="s">
        <v>671</v>
      </c>
      <c r="H170" s="424" t="s">
        <v>671</v>
      </c>
      <c r="I170" s="424" t="s">
        <v>671</v>
      </c>
      <c r="J170" s="424" t="s">
        <v>671</v>
      </c>
      <c r="K170" s="424" t="s">
        <v>671</v>
      </c>
      <c r="L170" s="255"/>
      <c r="M170" s="314"/>
    </row>
    <row r="171" spans="1:14">
      <c r="G171" s="277"/>
      <c r="H171" s="277"/>
      <c r="I171" s="255"/>
      <c r="J171" s="277"/>
      <c r="K171" s="277"/>
      <c r="L171" s="255"/>
    </row>
    <row r="172" spans="1:14">
      <c r="A172" s="259"/>
      <c r="B172" s="259" t="s">
        <v>317</v>
      </c>
      <c r="C172" s="259"/>
      <c r="D172" s="259"/>
      <c r="E172" s="259"/>
      <c r="F172" s="259"/>
      <c r="G172" s="424" t="s">
        <v>671</v>
      </c>
      <c r="H172" s="424" t="s">
        <v>671</v>
      </c>
      <c r="I172" s="424" t="s">
        <v>671</v>
      </c>
      <c r="J172" s="424" t="s">
        <v>671</v>
      </c>
      <c r="K172" s="424" t="s">
        <v>671</v>
      </c>
      <c r="L172" s="259"/>
      <c r="M172" s="252"/>
      <c r="N172" s="220" t="s">
        <v>455</v>
      </c>
    </row>
    <row r="173" spans="1:14">
      <c r="G173" s="277"/>
      <c r="H173" s="277"/>
      <c r="I173" s="255"/>
      <c r="J173" s="277"/>
      <c r="K173" s="277"/>
      <c r="L173" s="255"/>
    </row>
    <row r="174" spans="1:14">
      <c r="B174" s="248"/>
      <c r="C174" s="249" t="s">
        <v>276</v>
      </c>
      <c r="D174" s="248"/>
      <c r="E174" s="248"/>
      <c r="G174" s="424" t="s">
        <v>671</v>
      </c>
      <c r="H174" s="424" t="s">
        <v>671</v>
      </c>
      <c r="I174" s="424" t="s">
        <v>671</v>
      </c>
      <c r="J174" s="424" t="s">
        <v>671</v>
      </c>
      <c r="K174" s="424" t="s">
        <v>671</v>
      </c>
      <c r="L174" s="255"/>
      <c r="M174" s="314"/>
    </row>
    <row r="175" spans="1:14">
      <c r="C175" s="249" t="s">
        <v>277</v>
      </c>
      <c r="D175" s="248"/>
      <c r="E175" s="248"/>
      <c r="G175" s="424" t="s">
        <v>671</v>
      </c>
      <c r="H175" s="424" t="s">
        <v>671</v>
      </c>
      <c r="I175" s="424" t="s">
        <v>671</v>
      </c>
      <c r="J175" s="424" t="s">
        <v>671</v>
      </c>
      <c r="K175" s="424" t="s">
        <v>671</v>
      </c>
      <c r="L175" s="255"/>
      <c r="M175" s="314"/>
    </row>
    <row r="176" spans="1:14">
      <c r="C176" s="249" t="s">
        <v>278</v>
      </c>
      <c r="D176" s="248"/>
      <c r="E176" s="248"/>
      <c r="G176" s="424" t="s">
        <v>671</v>
      </c>
      <c r="H176" s="424" t="s">
        <v>671</v>
      </c>
      <c r="I176" s="424" t="s">
        <v>671</v>
      </c>
      <c r="J176" s="424" t="s">
        <v>671</v>
      </c>
      <c r="K176" s="424" t="s">
        <v>671</v>
      </c>
      <c r="L176" s="255"/>
      <c r="M176" s="314"/>
    </row>
    <row r="177" spans="2:14">
      <c r="C177" s="249" t="s">
        <v>279</v>
      </c>
      <c r="D177" s="248"/>
      <c r="E177" s="248"/>
      <c r="G177" s="424" t="s">
        <v>671</v>
      </c>
      <c r="H177" s="424" t="s">
        <v>671</v>
      </c>
      <c r="I177" s="424" t="s">
        <v>671</v>
      </c>
      <c r="J177" s="424" t="s">
        <v>671</v>
      </c>
      <c r="K177" s="424" t="s">
        <v>671</v>
      </c>
      <c r="L177" s="255"/>
      <c r="M177" s="314"/>
    </row>
    <row r="178" spans="2:14">
      <c r="C178" s="249" t="s">
        <v>280</v>
      </c>
      <c r="D178" s="248"/>
      <c r="E178" s="248"/>
      <c r="G178" s="424" t="s">
        <v>671</v>
      </c>
      <c r="H178" s="424" t="s">
        <v>671</v>
      </c>
      <c r="I178" s="424" t="s">
        <v>671</v>
      </c>
      <c r="J178" s="424" t="s">
        <v>671</v>
      </c>
      <c r="K178" s="424" t="s">
        <v>671</v>
      </c>
      <c r="L178" s="255"/>
      <c r="M178" s="314"/>
    </row>
    <row r="179" spans="2:14">
      <c r="C179" s="249" t="s">
        <v>281</v>
      </c>
      <c r="D179" s="248"/>
      <c r="E179" s="248"/>
      <c r="G179" s="424" t="s">
        <v>671</v>
      </c>
      <c r="H179" s="424" t="s">
        <v>671</v>
      </c>
      <c r="I179" s="424" t="s">
        <v>671</v>
      </c>
      <c r="J179" s="424" t="s">
        <v>671</v>
      </c>
      <c r="K179" s="424" t="s">
        <v>671</v>
      </c>
      <c r="L179" s="255"/>
      <c r="M179" s="314"/>
    </row>
    <row r="180" spans="2:14">
      <c r="C180" s="249" t="s">
        <v>282</v>
      </c>
      <c r="D180" s="248"/>
      <c r="E180" s="248"/>
      <c r="G180" s="424" t="s">
        <v>671</v>
      </c>
      <c r="H180" s="424" t="s">
        <v>671</v>
      </c>
      <c r="I180" s="424" t="s">
        <v>671</v>
      </c>
      <c r="J180" s="424" t="s">
        <v>671</v>
      </c>
      <c r="K180" s="424" t="s">
        <v>671</v>
      </c>
      <c r="L180" s="255"/>
      <c r="M180" s="314"/>
    </row>
    <row r="181" spans="2:14">
      <c r="C181" s="249" t="s">
        <v>283</v>
      </c>
      <c r="D181" s="248"/>
      <c r="E181" s="248"/>
      <c r="G181" s="424" t="s">
        <v>671</v>
      </c>
      <c r="H181" s="424" t="s">
        <v>671</v>
      </c>
      <c r="I181" s="424" t="s">
        <v>671</v>
      </c>
      <c r="J181" s="424" t="s">
        <v>671</v>
      </c>
      <c r="K181" s="424" t="s">
        <v>671</v>
      </c>
      <c r="L181" s="255"/>
      <c r="M181" s="314"/>
    </row>
    <row r="182" spans="2:14">
      <c r="C182" s="249" t="s">
        <v>284</v>
      </c>
      <c r="D182" s="248"/>
      <c r="E182" s="248"/>
      <c r="G182" s="424" t="s">
        <v>671</v>
      </c>
      <c r="H182" s="424" t="s">
        <v>671</v>
      </c>
      <c r="I182" s="424" t="s">
        <v>671</v>
      </c>
      <c r="J182" s="424" t="s">
        <v>671</v>
      </c>
      <c r="K182" s="424" t="s">
        <v>671</v>
      </c>
      <c r="L182" s="255"/>
      <c r="M182" s="314"/>
    </row>
    <row r="183" spans="2:14">
      <c r="C183" s="249" t="s">
        <v>285</v>
      </c>
      <c r="D183" s="248"/>
      <c r="E183" s="248"/>
      <c r="G183" s="424" t="s">
        <v>671</v>
      </c>
      <c r="H183" s="424" t="s">
        <v>671</v>
      </c>
      <c r="I183" s="424" t="s">
        <v>671</v>
      </c>
      <c r="J183" s="424" t="s">
        <v>671</v>
      </c>
      <c r="K183" s="424" t="s">
        <v>671</v>
      </c>
      <c r="L183" s="255"/>
      <c r="M183" s="314"/>
    </row>
    <row r="184" spans="2:14">
      <c r="C184" s="249" t="s">
        <v>286</v>
      </c>
      <c r="D184" s="248"/>
      <c r="E184" s="248"/>
      <c r="G184" s="424" t="s">
        <v>671</v>
      </c>
      <c r="H184" s="424" t="s">
        <v>671</v>
      </c>
      <c r="I184" s="424" t="s">
        <v>671</v>
      </c>
      <c r="J184" s="424" t="s">
        <v>671</v>
      </c>
      <c r="K184" s="424" t="s">
        <v>671</v>
      </c>
      <c r="L184" s="255"/>
      <c r="M184" s="314"/>
    </row>
    <row r="185" spans="2:14">
      <c r="C185" s="249" t="s">
        <v>287</v>
      </c>
      <c r="D185" s="248"/>
      <c r="E185" s="248"/>
      <c r="G185" s="221"/>
      <c r="H185" s="221"/>
      <c r="I185" s="221"/>
      <c r="J185" s="221"/>
      <c r="K185" s="221"/>
      <c r="L185" s="255"/>
      <c r="M185" s="314"/>
    </row>
    <row r="186" spans="2:14">
      <c r="C186" s="249" t="s">
        <v>288</v>
      </c>
      <c r="D186" s="248"/>
      <c r="E186" s="248"/>
      <c r="G186" s="424" t="s">
        <v>671</v>
      </c>
      <c r="H186" s="424" t="s">
        <v>671</v>
      </c>
      <c r="I186" s="424" t="s">
        <v>671</v>
      </c>
      <c r="J186" s="424" t="s">
        <v>671</v>
      </c>
      <c r="K186" s="424" t="s">
        <v>671</v>
      </c>
      <c r="L186" s="255"/>
      <c r="M186" s="314"/>
    </row>
    <row r="187" spans="2:14">
      <c r="C187" s="248"/>
      <c r="D187" s="248"/>
      <c r="E187" s="248"/>
      <c r="G187" s="221"/>
      <c r="H187" s="221"/>
      <c r="I187" s="221"/>
      <c r="J187" s="221"/>
      <c r="K187" s="221"/>
      <c r="L187" s="255"/>
      <c r="M187" s="314"/>
    </row>
    <row r="188" spans="2:14">
      <c r="C188" s="249" t="s">
        <v>227</v>
      </c>
      <c r="D188" s="248"/>
      <c r="E188" s="248"/>
      <c r="G188" s="424" t="s">
        <v>671</v>
      </c>
      <c r="H188" s="424" t="s">
        <v>671</v>
      </c>
      <c r="I188" s="424" t="s">
        <v>671</v>
      </c>
      <c r="J188" s="424" t="s">
        <v>671</v>
      </c>
      <c r="K188" s="424" t="s">
        <v>671</v>
      </c>
      <c r="L188" s="255"/>
      <c r="M188" s="314"/>
    </row>
    <row r="189" spans="2:14">
      <c r="C189" s="248"/>
      <c r="D189" s="248"/>
      <c r="E189" s="248"/>
      <c r="G189" s="251"/>
      <c r="H189" s="277"/>
      <c r="I189" s="251"/>
      <c r="J189" s="251"/>
      <c r="K189" s="251"/>
      <c r="L189" s="255"/>
    </row>
    <row r="190" spans="2:14">
      <c r="C190" s="249" t="s">
        <v>36</v>
      </c>
      <c r="D190" s="248"/>
      <c r="E190" s="248"/>
      <c r="G190" s="424" t="s">
        <v>671</v>
      </c>
      <c r="H190" s="424" t="s">
        <v>671</v>
      </c>
      <c r="I190" s="424" t="s">
        <v>671</v>
      </c>
      <c r="J190" s="424" t="s">
        <v>671</v>
      </c>
      <c r="K190" s="424" t="s">
        <v>671</v>
      </c>
      <c r="L190" s="255"/>
      <c r="M190" s="314"/>
    </row>
    <row r="191" spans="2:14">
      <c r="G191" s="277"/>
      <c r="H191" s="277"/>
      <c r="I191" s="255"/>
      <c r="J191" s="277"/>
      <c r="K191" s="277"/>
      <c r="L191" s="255"/>
    </row>
    <row r="192" spans="2:14">
      <c r="B192" s="250" t="s">
        <v>307</v>
      </c>
      <c r="C192" s="248"/>
      <c r="D192" s="248"/>
      <c r="E192" s="248"/>
      <c r="G192" s="424" t="s">
        <v>671</v>
      </c>
      <c r="H192" s="424" t="s">
        <v>671</v>
      </c>
      <c r="I192" s="424" t="s">
        <v>671</v>
      </c>
      <c r="J192" s="424" t="s">
        <v>671</v>
      </c>
      <c r="K192" s="424" t="s">
        <v>671</v>
      </c>
      <c r="L192" s="259"/>
      <c r="M192" s="252"/>
      <c r="N192" s="220" t="s">
        <v>455</v>
      </c>
    </row>
    <row r="193" spans="2:14">
      <c r="G193" s="277"/>
      <c r="H193" s="277"/>
      <c r="I193" s="255"/>
      <c r="J193" s="277"/>
      <c r="K193" s="277"/>
      <c r="L193" s="255"/>
    </row>
    <row r="194" spans="2:14">
      <c r="B194" s="248"/>
      <c r="C194" s="249" t="s">
        <v>358</v>
      </c>
      <c r="D194" s="248"/>
      <c r="E194" s="248"/>
      <c r="G194" s="424" t="s">
        <v>671</v>
      </c>
      <c r="H194" s="424" t="s">
        <v>671</v>
      </c>
      <c r="I194" s="424" t="s">
        <v>671</v>
      </c>
      <c r="J194" s="424" t="s">
        <v>671</v>
      </c>
      <c r="K194" s="424" t="s">
        <v>671</v>
      </c>
      <c r="L194" s="255"/>
      <c r="N194" s="424" t="s">
        <v>671</v>
      </c>
    </row>
    <row r="195" spans="2:14">
      <c r="B195" s="248"/>
      <c r="C195" s="249" t="s">
        <v>359</v>
      </c>
      <c r="D195" s="248"/>
      <c r="E195" s="248"/>
      <c r="G195" s="424" t="s">
        <v>671</v>
      </c>
      <c r="H195" s="424" t="s">
        <v>671</v>
      </c>
      <c r="I195" s="424" t="s">
        <v>671</v>
      </c>
      <c r="J195" s="424" t="s">
        <v>671</v>
      </c>
      <c r="K195" s="424" t="s">
        <v>671</v>
      </c>
      <c r="L195" s="255"/>
      <c r="N195" s="424" t="s">
        <v>671</v>
      </c>
    </row>
    <row r="196" spans="2:14">
      <c r="G196" s="277"/>
      <c r="H196" s="277"/>
      <c r="I196" s="277"/>
      <c r="J196" s="255"/>
      <c r="K196" s="277"/>
      <c r="L196" s="255"/>
    </row>
    <row r="197" spans="2:14">
      <c r="B197" s="257" t="s">
        <v>319</v>
      </c>
      <c r="C197" s="255"/>
      <c r="D197" s="255"/>
      <c r="E197" s="255"/>
      <c r="G197" s="424" t="s">
        <v>671</v>
      </c>
      <c r="H197" s="424" t="s">
        <v>671</v>
      </c>
      <c r="I197" s="424" t="s">
        <v>671</v>
      </c>
      <c r="J197" s="424" t="s">
        <v>671</v>
      </c>
      <c r="K197" s="424" t="s">
        <v>671</v>
      </c>
      <c r="L197" s="259"/>
      <c r="M197" s="252"/>
      <c r="N197" s="220" t="s">
        <v>455</v>
      </c>
    </row>
    <row r="198" spans="2:14">
      <c r="B198" s="249"/>
      <c r="C198" s="249"/>
      <c r="D198" s="249"/>
      <c r="E198" s="249"/>
      <c r="G198" s="277"/>
      <c r="H198" s="277"/>
      <c r="I198" s="255"/>
      <c r="J198" s="277"/>
      <c r="K198" s="255"/>
      <c r="L198" s="255"/>
    </row>
    <row r="199" spans="2:14">
      <c r="B199" s="255"/>
      <c r="C199" s="256" t="s">
        <v>264</v>
      </c>
      <c r="D199" s="255"/>
      <c r="E199" s="255"/>
      <c r="G199" s="424" t="s">
        <v>671</v>
      </c>
      <c r="H199" s="424" t="s">
        <v>671</v>
      </c>
      <c r="I199" s="424" t="s">
        <v>671</v>
      </c>
      <c r="J199" s="424" t="s">
        <v>671</v>
      </c>
      <c r="K199" s="424" t="s">
        <v>671</v>
      </c>
      <c r="L199" s="255"/>
      <c r="M199" s="314"/>
    </row>
    <row r="200" spans="2:14">
      <c r="B200" s="255"/>
      <c r="C200" s="256" t="s">
        <v>265</v>
      </c>
      <c r="D200" s="255"/>
      <c r="E200" s="255"/>
      <c r="G200" s="424" t="s">
        <v>671</v>
      </c>
      <c r="H200" s="424" t="s">
        <v>671</v>
      </c>
      <c r="I200" s="424" t="s">
        <v>671</v>
      </c>
      <c r="J200" s="424" t="s">
        <v>671</v>
      </c>
      <c r="K200" s="424" t="s">
        <v>671</v>
      </c>
      <c r="L200" s="255"/>
      <c r="M200" s="314"/>
    </row>
    <row r="201" spans="2:14">
      <c r="B201" s="255"/>
      <c r="C201" s="256" t="s">
        <v>266</v>
      </c>
      <c r="D201" s="255"/>
      <c r="E201" s="255"/>
      <c r="G201" s="424" t="s">
        <v>671</v>
      </c>
      <c r="H201" s="424" t="s">
        <v>671</v>
      </c>
      <c r="I201" s="424" t="s">
        <v>671</v>
      </c>
      <c r="J201" s="424" t="s">
        <v>671</v>
      </c>
      <c r="K201" s="424" t="s">
        <v>671</v>
      </c>
      <c r="L201" s="255"/>
      <c r="M201" s="314"/>
    </row>
    <row r="202" spans="2:14">
      <c r="B202" s="255"/>
      <c r="C202" s="256" t="s">
        <v>267</v>
      </c>
      <c r="D202" s="255"/>
      <c r="E202" s="255"/>
      <c r="G202" s="424" t="s">
        <v>671</v>
      </c>
      <c r="H202" s="424" t="s">
        <v>671</v>
      </c>
      <c r="I202" s="424" t="s">
        <v>671</v>
      </c>
      <c r="J202" s="424" t="s">
        <v>671</v>
      </c>
      <c r="K202" s="424" t="s">
        <v>671</v>
      </c>
      <c r="L202" s="255"/>
      <c r="M202" s="314"/>
    </row>
    <row r="203" spans="2:14">
      <c r="B203" s="255"/>
      <c r="C203" s="256" t="s">
        <v>268</v>
      </c>
      <c r="D203" s="255"/>
      <c r="E203" s="255"/>
      <c r="G203" s="424" t="s">
        <v>671</v>
      </c>
      <c r="H203" s="424" t="s">
        <v>671</v>
      </c>
      <c r="I203" s="424" t="s">
        <v>671</v>
      </c>
      <c r="J203" s="424" t="s">
        <v>671</v>
      </c>
      <c r="K203" s="424" t="s">
        <v>671</v>
      </c>
      <c r="L203" s="255"/>
      <c r="M203" s="314"/>
    </row>
    <row r="204" spans="2:14">
      <c r="B204" s="255"/>
      <c r="C204" s="256" t="s">
        <v>269</v>
      </c>
      <c r="D204" s="255"/>
      <c r="E204" s="255"/>
      <c r="G204" s="424" t="s">
        <v>671</v>
      </c>
      <c r="H204" s="424" t="s">
        <v>671</v>
      </c>
      <c r="I204" s="424" t="s">
        <v>671</v>
      </c>
      <c r="J204" s="424" t="s">
        <v>671</v>
      </c>
      <c r="K204" s="424" t="s">
        <v>671</v>
      </c>
      <c r="L204" s="255"/>
      <c r="M204" s="314"/>
    </row>
    <row r="205" spans="2:14">
      <c r="B205" s="255"/>
      <c r="C205" s="256" t="s">
        <v>270</v>
      </c>
      <c r="D205" s="255"/>
      <c r="E205" s="255"/>
      <c r="G205" s="424" t="s">
        <v>671</v>
      </c>
      <c r="H205" s="424" t="s">
        <v>671</v>
      </c>
      <c r="I205" s="424" t="s">
        <v>671</v>
      </c>
      <c r="J205" s="424" t="s">
        <v>671</v>
      </c>
      <c r="K205" s="424" t="s">
        <v>671</v>
      </c>
      <c r="L205" s="255"/>
      <c r="M205" s="314"/>
    </row>
    <row r="206" spans="2:14">
      <c r="B206" s="255"/>
      <c r="C206" s="256" t="s">
        <v>30</v>
      </c>
      <c r="D206" s="255"/>
      <c r="E206" s="255"/>
      <c r="G206" s="424" t="s">
        <v>671</v>
      </c>
      <c r="H206" s="424" t="s">
        <v>671</v>
      </c>
      <c r="I206" s="424" t="s">
        <v>671</v>
      </c>
      <c r="J206" s="424" t="s">
        <v>671</v>
      </c>
      <c r="K206" s="424" t="s">
        <v>671</v>
      </c>
      <c r="L206" s="255"/>
      <c r="M206" s="314"/>
    </row>
    <row r="207" spans="2:14">
      <c r="B207" s="255"/>
      <c r="C207" s="256" t="s">
        <v>271</v>
      </c>
      <c r="D207" s="255"/>
      <c r="E207" s="255"/>
      <c r="G207" s="424" t="s">
        <v>671</v>
      </c>
      <c r="H207" s="424" t="s">
        <v>671</v>
      </c>
      <c r="I207" s="424" t="s">
        <v>671</v>
      </c>
      <c r="J207" s="424" t="s">
        <v>671</v>
      </c>
      <c r="K207" s="424" t="s">
        <v>671</v>
      </c>
      <c r="L207" s="255"/>
      <c r="M207" s="314"/>
    </row>
    <row r="208" spans="2:14">
      <c r="B208" s="255"/>
      <c r="C208" s="256" t="s">
        <v>272</v>
      </c>
      <c r="D208" s="255"/>
      <c r="E208" s="255"/>
      <c r="G208" s="424" t="s">
        <v>671</v>
      </c>
      <c r="H208" s="424" t="s">
        <v>671</v>
      </c>
      <c r="I208" s="424" t="s">
        <v>671</v>
      </c>
      <c r="J208" s="424" t="s">
        <v>671</v>
      </c>
      <c r="K208" s="424" t="s">
        <v>671</v>
      </c>
      <c r="L208" s="255"/>
      <c r="M208" s="314"/>
    </row>
    <row r="209" spans="2:14">
      <c r="B209" s="255"/>
      <c r="C209" s="256" t="s">
        <v>273</v>
      </c>
      <c r="D209" s="255"/>
      <c r="E209" s="255"/>
      <c r="G209" s="424" t="s">
        <v>671</v>
      </c>
      <c r="H209" s="424" t="s">
        <v>671</v>
      </c>
      <c r="I209" s="424" t="s">
        <v>671</v>
      </c>
      <c r="J209" s="424" t="s">
        <v>671</v>
      </c>
      <c r="K209" s="424" t="s">
        <v>671</v>
      </c>
      <c r="L209" s="255"/>
      <c r="M209" s="314"/>
    </row>
    <row r="210" spans="2:14">
      <c r="B210" s="255"/>
      <c r="C210" s="255"/>
      <c r="D210" s="255"/>
      <c r="E210" s="255"/>
      <c r="G210" s="221"/>
      <c r="H210" s="221"/>
      <c r="I210" s="221"/>
      <c r="J210" s="221"/>
      <c r="K210" s="221"/>
      <c r="L210" s="255"/>
      <c r="M210" s="314"/>
    </row>
    <row r="211" spans="2:14">
      <c r="B211" s="255"/>
      <c r="C211" s="256" t="s">
        <v>227</v>
      </c>
      <c r="D211" s="255"/>
      <c r="E211" s="255"/>
      <c r="G211" s="424" t="s">
        <v>671</v>
      </c>
      <c r="H211" s="424" t="s">
        <v>671</v>
      </c>
      <c r="I211" s="424" t="s">
        <v>671</v>
      </c>
      <c r="J211" s="424" t="s">
        <v>671</v>
      </c>
      <c r="K211" s="424" t="s">
        <v>671</v>
      </c>
      <c r="L211" s="255"/>
      <c r="M211" s="314"/>
    </row>
    <row r="212" spans="2:14">
      <c r="B212" s="255"/>
      <c r="C212" s="255"/>
      <c r="D212" s="255"/>
      <c r="E212" s="255"/>
      <c r="G212" s="221"/>
      <c r="H212" s="221"/>
      <c r="I212" s="221"/>
      <c r="J212" s="221"/>
      <c r="K212" s="221"/>
      <c r="L212" s="255"/>
      <c r="M212" s="314"/>
    </row>
    <row r="213" spans="2:14">
      <c r="B213" s="255"/>
      <c r="C213" s="256" t="s">
        <v>36</v>
      </c>
      <c r="D213" s="255"/>
      <c r="E213" s="255"/>
      <c r="G213" s="424" t="s">
        <v>671</v>
      </c>
      <c r="H213" s="424" t="s">
        <v>671</v>
      </c>
      <c r="I213" s="424" t="s">
        <v>671</v>
      </c>
      <c r="J213" s="424" t="s">
        <v>671</v>
      </c>
      <c r="K213" s="424" t="s">
        <v>671</v>
      </c>
      <c r="L213" s="255"/>
      <c r="M213" s="315"/>
    </row>
    <row r="214" spans="2:14">
      <c r="B214" s="249"/>
      <c r="C214" s="249"/>
      <c r="D214" s="249"/>
      <c r="E214" s="249"/>
      <c r="G214" s="277"/>
      <c r="H214" s="277"/>
      <c r="I214" s="255"/>
      <c r="J214" s="277"/>
      <c r="K214" s="255"/>
      <c r="L214" s="255"/>
    </row>
    <row r="215" spans="2:14">
      <c r="B215" s="257" t="s">
        <v>320</v>
      </c>
      <c r="C215" s="255"/>
      <c r="D215" s="255"/>
      <c r="E215" s="255"/>
      <c r="G215" s="424" t="s">
        <v>671</v>
      </c>
      <c r="H215" s="424" t="s">
        <v>671</v>
      </c>
      <c r="I215" s="424" t="s">
        <v>671</v>
      </c>
      <c r="J215" s="424" t="s">
        <v>671</v>
      </c>
      <c r="K215" s="424" t="s">
        <v>671</v>
      </c>
      <c r="L215" s="259"/>
      <c r="M215" s="252"/>
      <c r="N215" s="220" t="s">
        <v>455</v>
      </c>
    </row>
    <row r="216" spans="2:14">
      <c r="B216" s="257"/>
      <c r="C216" s="255"/>
      <c r="D216" s="255"/>
      <c r="E216" s="255"/>
      <c r="G216" s="255"/>
      <c r="H216" s="277"/>
      <c r="I216" s="255"/>
      <c r="J216" s="255"/>
      <c r="K216" s="255"/>
      <c r="L216" s="255"/>
    </row>
    <row r="217" spans="2:14">
      <c r="B217" s="255"/>
      <c r="C217" s="256" t="s">
        <v>264</v>
      </c>
      <c r="D217" s="255"/>
      <c r="E217" s="255"/>
      <c r="G217" s="424" t="s">
        <v>671</v>
      </c>
      <c r="H217" s="424" t="s">
        <v>671</v>
      </c>
      <c r="I217" s="424" t="s">
        <v>671</v>
      </c>
      <c r="J217" s="424" t="s">
        <v>671</v>
      </c>
      <c r="K217" s="424" t="s">
        <v>671</v>
      </c>
      <c r="L217" s="255"/>
      <c r="M217" s="314"/>
    </row>
    <row r="218" spans="2:14">
      <c r="B218" s="255"/>
      <c r="C218" s="256" t="s">
        <v>265</v>
      </c>
      <c r="D218" s="255"/>
      <c r="E218" s="255"/>
      <c r="G218" s="424" t="s">
        <v>671</v>
      </c>
      <c r="H218" s="424" t="s">
        <v>671</v>
      </c>
      <c r="I218" s="424" t="s">
        <v>671</v>
      </c>
      <c r="J218" s="424" t="s">
        <v>671</v>
      </c>
      <c r="K218" s="424" t="s">
        <v>671</v>
      </c>
      <c r="L218" s="255"/>
      <c r="M218" s="314"/>
    </row>
    <row r="219" spans="2:14">
      <c r="B219" s="255"/>
      <c r="C219" s="256" t="s">
        <v>266</v>
      </c>
      <c r="D219" s="255"/>
      <c r="E219" s="255"/>
      <c r="G219" s="424" t="s">
        <v>671</v>
      </c>
      <c r="H219" s="424" t="s">
        <v>671</v>
      </c>
      <c r="I219" s="424" t="s">
        <v>671</v>
      </c>
      <c r="J219" s="424" t="s">
        <v>671</v>
      </c>
      <c r="K219" s="424" t="s">
        <v>671</v>
      </c>
      <c r="L219" s="255"/>
      <c r="M219" s="314"/>
    </row>
    <row r="220" spans="2:14">
      <c r="B220" s="255"/>
      <c r="C220" s="256" t="s">
        <v>267</v>
      </c>
      <c r="D220" s="255"/>
      <c r="E220" s="255"/>
      <c r="G220" s="424" t="s">
        <v>671</v>
      </c>
      <c r="H220" s="424" t="s">
        <v>671</v>
      </c>
      <c r="I220" s="424" t="s">
        <v>671</v>
      </c>
      <c r="J220" s="424" t="s">
        <v>671</v>
      </c>
      <c r="K220" s="424" t="s">
        <v>671</v>
      </c>
      <c r="L220" s="255"/>
      <c r="M220" s="314"/>
    </row>
    <row r="221" spans="2:14">
      <c r="B221" s="255"/>
      <c r="C221" s="256" t="s">
        <v>268</v>
      </c>
      <c r="D221" s="255"/>
      <c r="E221" s="255"/>
      <c r="G221" s="424" t="s">
        <v>671</v>
      </c>
      <c r="H221" s="424" t="s">
        <v>671</v>
      </c>
      <c r="I221" s="424" t="s">
        <v>671</v>
      </c>
      <c r="J221" s="424" t="s">
        <v>671</v>
      </c>
      <c r="K221" s="424" t="s">
        <v>671</v>
      </c>
      <c r="L221" s="255"/>
      <c r="M221" s="314"/>
    </row>
    <row r="222" spans="2:14">
      <c r="B222" s="255"/>
      <c r="C222" s="256" t="s">
        <v>269</v>
      </c>
      <c r="D222" s="255"/>
      <c r="E222" s="255"/>
      <c r="G222" s="424" t="s">
        <v>671</v>
      </c>
      <c r="H222" s="424" t="s">
        <v>671</v>
      </c>
      <c r="I222" s="424" t="s">
        <v>671</v>
      </c>
      <c r="J222" s="424" t="s">
        <v>671</v>
      </c>
      <c r="K222" s="424" t="s">
        <v>671</v>
      </c>
      <c r="L222" s="255"/>
      <c r="M222" s="314"/>
    </row>
    <row r="223" spans="2:14">
      <c r="B223" s="255"/>
      <c r="C223" s="256" t="s">
        <v>270</v>
      </c>
      <c r="D223" s="255"/>
      <c r="E223" s="255"/>
      <c r="G223" s="424" t="s">
        <v>671</v>
      </c>
      <c r="H223" s="424" t="s">
        <v>671</v>
      </c>
      <c r="I223" s="424" t="s">
        <v>671</v>
      </c>
      <c r="J223" s="424" t="s">
        <v>671</v>
      </c>
      <c r="K223" s="424" t="s">
        <v>671</v>
      </c>
      <c r="L223" s="255"/>
      <c r="M223" s="314"/>
    </row>
    <row r="224" spans="2:14">
      <c r="B224" s="255"/>
      <c r="C224" s="256" t="s">
        <v>30</v>
      </c>
      <c r="D224" s="255"/>
      <c r="E224" s="255"/>
      <c r="G224" s="424" t="s">
        <v>671</v>
      </c>
      <c r="H224" s="424" t="s">
        <v>671</v>
      </c>
      <c r="I224" s="424" t="s">
        <v>671</v>
      </c>
      <c r="J224" s="424" t="s">
        <v>671</v>
      </c>
      <c r="K224" s="424" t="s">
        <v>671</v>
      </c>
      <c r="L224" s="255"/>
      <c r="M224" s="314"/>
    </row>
    <row r="225" spans="2:14">
      <c r="B225" s="255"/>
      <c r="C225" s="256" t="s">
        <v>271</v>
      </c>
      <c r="D225" s="255"/>
      <c r="E225" s="255"/>
      <c r="G225" s="424" t="s">
        <v>671</v>
      </c>
      <c r="H225" s="424" t="s">
        <v>671</v>
      </c>
      <c r="I225" s="424" t="s">
        <v>671</v>
      </c>
      <c r="J225" s="424" t="s">
        <v>671</v>
      </c>
      <c r="K225" s="424" t="s">
        <v>671</v>
      </c>
      <c r="L225" s="255"/>
      <c r="M225" s="314"/>
    </row>
    <row r="226" spans="2:14">
      <c r="B226" s="255"/>
      <c r="C226" s="256" t="s">
        <v>272</v>
      </c>
      <c r="D226" s="255"/>
      <c r="E226" s="255"/>
      <c r="G226" s="424" t="s">
        <v>671</v>
      </c>
      <c r="H226" s="424" t="s">
        <v>671</v>
      </c>
      <c r="I226" s="424" t="s">
        <v>671</v>
      </c>
      <c r="J226" s="424" t="s">
        <v>671</v>
      </c>
      <c r="K226" s="424" t="s">
        <v>671</v>
      </c>
      <c r="L226" s="255"/>
      <c r="M226" s="314"/>
    </row>
    <row r="227" spans="2:14">
      <c r="B227" s="255"/>
      <c r="C227" s="256" t="s">
        <v>273</v>
      </c>
      <c r="D227" s="255"/>
      <c r="E227" s="255"/>
      <c r="G227" s="424" t="s">
        <v>671</v>
      </c>
      <c r="H227" s="424" t="s">
        <v>671</v>
      </c>
      <c r="I227" s="424" t="s">
        <v>671</v>
      </c>
      <c r="J227" s="424" t="s">
        <v>671</v>
      </c>
      <c r="K227" s="424" t="s">
        <v>671</v>
      </c>
      <c r="L227" s="255"/>
      <c r="M227" s="314"/>
    </row>
    <row r="228" spans="2:14">
      <c r="B228" s="255"/>
      <c r="C228" s="255"/>
      <c r="D228" s="255"/>
      <c r="E228" s="255"/>
      <c r="G228" s="221"/>
      <c r="H228" s="221"/>
      <c r="I228" s="221"/>
      <c r="J228" s="221"/>
      <c r="K228" s="221"/>
      <c r="L228" s="255"/>
      <c r="M228" s="314"/>
    </row>
    <row r="229" spans="2:14">
      <c r="B229" s="255"/>
      <c r="C229" s="256" t="s">
        <v>227</v>
      </c>
      <c r="D229" s="255"/>
      <c r="E229" s="255"/>
      <c r="G229" s="424" t="s">
        <v>671</v>
      </c>
      <c r="H229" s="424" t="s">
        <v>671</v>
      </c>
      <c r="I229" s="424" t="s">
        <v>671</v>
      </c>
      <c r="J229" s="424" t="s">
        <v>671</v>
      </c>
      <c r="K229" s="424" t="s">
        <v>671</v>
      </c>
      <c r="L229" s="255"/>
      <c r="M229" s="314"/>
    </row>
    <row r="230" spans="2:14">
      <c r="B230" s="255"/>
      <c r="C230" s="255"/>
      <c r="D230" s="255"/>
      <c r="E230" s="255"/>
      <c r="G230" s="221"/>
      <c r="H230" s="221"/>
      <c r="I230" s="221"/>
      <c r="J230" s="221"/>
      <c r="K230" s="221"/>
      <c r="L230" s="255"/>
      <c r="M230" s="314"/>
    </row>
    <row r="231" spans="2:14">
      <c r="B231" s="255"/>
      <c r="C231" s="256" t="s">
        <v>36</v>
      </c>
      <c r="D231" s="255"/>
      <c r="E231" s="255"/>
      <c r="G231" s="424" t="s">
        <v>671</v>
      </c>
      <c r="H231" s="424" t="s">
        <v>671</v>
      </c>
      <c r="I231" s="424" t="s">
        <v>671</v>
      </c>
      <c r="J231" s="424" t="s">
        <v>671</v>
      </c>
      <c r="K231" s="424" t="s">
        <v>671</v>
      </c>
      <c r="L231" s="255"/>
      <c r="M231" s="314"/>
    </row>
    <row r="232" spans="2:14">
      <c r="B232" s="249"/>
      <c r="C232" s="249"/>
      <c r="D232" s="249"/>
      <c r="E232" s="249"/>
      <c r="G232" s="277"/>
      <c r="H232" s="277"/>
      <c r="I232" s="255"/>
      <c r="J232" s="277"/>
      <c r="K232" s="255"/>
      <c r="L232" s="255"/>
    </row>
    <row r="233" spans="2:14">
      <c r="B233" s="257" t="s">
        <v>321</v>
      </c>
      <c r="C233" s="255"/>
      <c r="D233" s="255"/>
      <c r="E233" s="255"/>
      <c r="G233" s="424" t="s">
        <v>671</v>
      </c>
      <c r="H233" s="424" t="s">
        <v>671</v>
      </c>
      <c r="I233" s="424" t="s">
        <v>671</v>
      </c>
      <c r="J233" s="424" t="s">
        <v>671</v>
      </c>
      <c r="K233" s="424" t="s">
        <v>671</v>
      </c>
      <c r="L233" s="259"/>
      <c r="M233" s="252"/>
      <c r="N233" s="220" t="s">
        <v>455</v>
      </c>
    </row>
    <row r="234" spans="2:14">
      <c r="B234" s="249"/>
      <c r="C234" s="249"/>
      <c r="D234" s="249"/>
      <c r="E234" s="249"/>
      <c r="G234" s="277"/>
      <c r="H234" s="277"/>
      <c r="I234" s="255"/>
      <c r="J234" s="277"/>
      <c r="K234" s="255"/>
      <c r="L234" s="255"/>
    </row>
    <row r="235" spans="2:14">
      <c r="B235" s="255"/>
      <c r="C235" s="256" t="s">
        <v>276</v>
      </c>
      <c r="D235" s="255"/>
      <c r="E235" s="255"/>
      <c r="G235" s="424" t="s">
        <v>671</v>
      </c>
      <c r="H235" s="424" t="s">
        <v>671</v>
      </c>
      <c r="I235" s="424" t="s">
        <v>671</v>
      </c>
      <c r="J235" s="424" t="s">
        <v>671</v>
      </c>
      <c r="K235" s="424" t="s">
        <v>671</v>
      </c>
      <c r="L235" s="255"/>
      <c r="M235" s="314"/>
    </row>
    <row r="236" spans="2:14">
      <c r="B236" s="255"/>
      <c r="C236" s="256" t="s">
        <v>277</v>
      </c>
      <c r="D236" s="255"/>
      <c r="E236" s="255"/>
      <c r="G236" s="424" t="s">
        <v>671</v>
      </c>
      <c r="H236" s="424" t="s">
        <v>671</v>
      </c>
      <c r="I236" s="424" t="s">
        <v>671</v>
      </c>
      <c r="J236" s="424" t="s">
        <v>671</v>
      </c>
      <c r="K236" s="424" t="s">
        <v>671</v>
      </c>
      <c r="L236" s="255"/>
      <c r="M236" s="314"/>
    </row>
    <row r="237" spans="2:14">
      <c r="B237" s="255"/>
      <c r="C237" s="256" t="s">
        <v>278</v>
      </c>
      <c r="D237" s="255"/>
      <c r="E237" s="255"/>
      <c r="G237" s="424" t="s">
        <v>671</v>
      </c>
      <c r="H237" s="424" t="s">
        <v>671</v>
      </c>
      <c r="I237" s="424" t="s">
        <v>671</v>
      </c>
      <c r="J237" s="424" t="s">
        <v>671</v>
      </c>
      <c r="K237" s="424" t="s">
        <v>671</v>
      </c>
      <c r="L237" s="255"/>
      <c r="M237" s="314"/>
    </row>
    <row r="238" spans="2:14">
      <c r="B238" s="255"/>
      <c r="C238" s="256" t="s">
        <v>279</v>
      </c>
      <c r="D238" s="255"/>
      <c r="E238" s="255"/>
      <c r="G238" s="424" t="s">
        <v>671</v>
      </c>
      <c r="H238" s="424" t="s">
        <v>671</v>
      </c>
      <c r="I238" s="424" t="s">
        <v>671</v>
      </c>
      <c r="J238" s="424" t="s">
        <v>671</v>
      </c>
      <c r="K238" s="424" t="s">
        <v>671</v>
      </c>
      <c r="L238" s="255"/>
      <c r="M238" s="314"/>
    </row>
    <row r="239" spans="2:14">
      <c r="B239" s="255"/>
      <c r="C239" s="256" t="s">
        <v>280</v>
      </c>
      <c r="D239" s="255"/>
      <c r="E239" s="255"/>
      <c r="G239" s="424" t="s">
        <v>671</v>
      </c>
      <c r="H239" s="424" t="s">
        <v>671</v>
      </c>
      <c r="I239" s="424" t="s">
        <v>671</v>
      </c>
      <c r="J239" s="424" t="s">
        <v>671</v>
      </c>
      <c r="K239" s="424" t="s">
        <v>671</v>
      </c>
      <c r="L239" s="255"/>
      <c r="M239" s="314"/>
    </row>
    <row r="240" spans="2:14">
      <c r="B240" s="255"/>
      <c r="C240" s="256" t="s">
        <v>281</v>
      </c>
      <c r="D240" s="255"/>
      <c r="E240" s="255"/>
      <c r="G240" s="424" t="s">
        <v>671</v>
      </c>
      <c r="H240" s="424" t="s">
        <v>671</v>
      </c>
      <c r="I240" s="424" t="s">
        <v>671</v>
      </c>
      <c r="J240" s="424" t="s">
        <v>671</v>
      </c>
      <c r="K240" s="424" t="s">
        <v>671</v>
      </c>
      <c r="L240" s="255"/>
      <c r="M240" s="314"/>
    </row>
    <row r="241" spans="2:14">
      <c r="B241" s="255"/>
      <c r="C241" s="256" t="s">
        <v>282</v>
      </c>
      <c r="D241" s="255"/>
      <c r="E241" s="255"/>
      <c r="G241" s="424" t="s">
        <v>671</v>
      </c>
      <c r="H241" s="424" t="s">
        <v>671</v>
      </c>
      <c r="I241" s="424" t="s">
        <v>671</v>
      </c>
      <c r="J241" s="424" t="s">
        <v>671</v>
      </c>
      <c r="K241" s="424" t="s">
        <v>671</v>
      </c>
      <c r="L241" s="255"/>
      <c r="M241" s="314"/>
    </row>
    <row r="242" spans="2:14">
      <c r="B242" s="255"/>
      <c r="C242" s="256" t="s">
        <v>283</v>
      </c>
      <c r="D242" s="255"/>
      <c r="E242" s="255"/>
      <c r="G242" s="424" t="s">
        <v>671</v>
      </c>
      <c r="H242" s="424" t="s">
        <v>671</v>
      </c>
      <c r="I242" s="424" t="s">
        <v>671</v>
      </c>
      <c r="J242" s="424" t="s">
        <v>671</v>
      </c>
      <c r="K242" s="424" t="s">
        <v>671</v>
      </c>
      <c r="L242" s="255"/>
      <c r="M242" s="314"/>
    </row>
    <row r="243" spans="2:14">
      <c r="B243" s="255"/>
      <c r="C243" s="256" t="s">
        <v>284</v>
      </c>
      <c r="D243" s="255"/>
      <c r="E243" s="255"/>
      <c r="G243" s="424" t="s">
        <v>671</v>
      </c>
      <c r="H243" s="424" t="s">
        <v>671</v>
      </c>
      <c r="I243" s="424" t="s">
        <v>671</v>
      </c>
      <c r="J243" s="424" t="s">
        <v>671</v>
      </c>
      <c r="K243" s="424" t="s">
        <v>671</v>
      </c>
      <c r="L243" s="255"/>
      <c r="M243" s="314"/>
    </row>
    <row r="244" spans="2:14">
      <c r="B244" s="255"/>
      <c r="C244" s="256" t="s">
        <v>285</v>
      </c>
      <c r="D244" s="255"/>
      <c r="E244" s="255"/>
      <c r="G244" s="424" t="s">
        <v>671</v>
      </c>
      <c r="H244" s="424" t="s">
        <v>671</v>
      </c>
      <c r="I244" s="424" t="s">
        <v>671</v>
      </c>
      <c r="J244" s="424" t="s">
        <v>671</v>
      </c>
      <c r="K244" s="424" t="s">
        <v>671</v>
      </c>
      <c r="L244" s="255"/>
      <c r="M244" s="314"/>
    </row>
    <row r="245" spans="2:14">
      <c r="B245" s="255"/>
      <c r="C245" s="256" t="s">
        <v>286</v>
      </c>
      <c r="D245" s="255"/>
      <c r="E245" s="255"/>
      <c r="G245" s="424" t="s">
        <v>671</v>
      </c>
      <c r="H245" s="424" t="s">
        <v>671</v>
      </c>
      <c r="I245" s="424" t="s">
        <v>671</v>
      </c>
      <c r="J245" s="424" t="s">
        <v>671</v>
      </c>
      <c r="K245" s="424" t="s">
        <v>671</v>
      </c>
      <c r="L245" s="255"/>
      <c r="M245" s="314"/>
    </row>
    <row r="246" spans="2:14">
      <c r="B246" s="255"/>
      <c r="C246" s="256" t="s">
        <v>287</v>
      </c>
      <c r="D246" s="255"/>
      <c r="E246" s="255"/>
      <c r="G246" s="221"/>
      <c r="H246" s="221"/>
      <c r="I246" s="221"/>
      <c r="J246" s="221"/>
      <c r="K246" s="221"/>
      <c r="L246" s="255"/>
      <c r="M246" s="314"/>
    </row>
    <row r="247" spans="2:14">
      <c r="B247" s="255"/>
      <c r="C247" s="256" t="s">
        <v>288</v>
      </c>
      <c r="D247" s="255"/>
      <c r="E247" s="255"/>
      <c r="G247" s="424" t="s">
        <v>671</v>
      </c>
      <c r="H247" s="424" t="s">
        <v>671</v>
      </c>
      <c r="I247" s="424" t="s">
        <v>671</v>
      </c>
      <c r="J247" s="424" t="s">
        <v>671</v>
      </c>
      <c r="K247" s="424" t="s">
        <v>671</v>
      </c>
      <c r="L247" s="255"/>
      <c r="M247" s="314"/>
    </row>
    <row r="248" spans="2:14">
      <c r="B248" s="255"/>
      <c r="C248" s="255"/>
      <c r="D248" s="255"/>
      <c r="E248" s="255"/>
      <c r="G248" s="221"/>
      <c r="H248" s="221"/>
      <c r="I248" s="221"/>
      <c r="J248" s="221"/>
      <c r="K248" s="221"/>
      <c r="L248" s="255"/>
      <c r="M248" s="314"/>
    </row>
    <row r="249" spans="2:14">
      <c r="B249" s="255"/>
      <c r="C249" s="256" t="s">
        <v>227</v>
      </c>
      <c r="D249" s="255"/>
      <c r="E249" s="255"/>
      <c r="G249" s="424" t="s">
        <v>671</v>
      </c>
      <c r="H249" s="424" t="s">
        <v>671</v>
      </c>
      <c r="I249" s="424" t="s">
        <v>671</v>
      </c>
      <c r="J249" s="424" t="s">
        <v>671</v>
      </c>
      <c r="K249" s="424" t="s">
        <v>671</v>
      </c>
      <c r="L249" s="255"/>
      <c r="M249" s="314"/>
    </row>
    <row r="250" spans="2:14">
      <c r="B250" s="255"/>
      <c r="C250" s="255"/>
      <c r="D250" s="255"/>
      <c r="E250" s="255"/>
      <c r="G250" s="270"/>
      <c r="H250" s="277"/>
      <c r="I250" s="270"/>
      <c r="J250" s="270"/>
      <c r="K250" s="270"/>
      <c r="L250" s="255"/>
    </row>
    <row r="251" spans="2:14">
      <c r="B251" s="255"/>
      <c r="C251" s="256" t="s">
        <v>36</v>
      </c>
      <c r="D251" s="255"/>
      <c r="E251" s="255"/>
      <c r="G251" s="424" t="s">
        <v>671</v>
      </c>
      <c r="H251" s="424" t="s">
        <v>671</v>
      </c>
      <c r="I251" s="424" t="s">
        <v>671</v>
      </c>
      <c r="J251" s="424" t="s">
        <v>671</v>
      </c>
      <c r="K251" s="424" t="s">
        <v>671</v>
      </c>
      <c r="L251" s="270">
        <f t="shared" ref="L251" si="0">SUM(L235:L250)</f>
        <v>0</v>
      </c>
      <c r="M251" s="315"/>
    </row>
    <row r="252" spans="2:14">
      <c r="B252" s="249"/>
      <c r="C252" s="249"/>
      <c r="D252" s="249"/>
      <c r="E252" s="249"/>
      <c r="G252" s="277"/>
      <c r="H252" s="277"/>
      <c r="I252" s="255"/>
      <c r="J252" s="277"/>
      <c r="K252" s="255"/>
      <c r="L252" s="255"/>
    </row>
    <row r="253" spans="2:14">
      <c r="B253" s="257" t="s">
        <v>322</v>
      </c>
      <c r="C253" s="255"/>
      <c r="D253" s="255"/>
      <c r="E253" s="255"/>
      <c r="G253" s="424" t="s">
        <v>671</v>
      </c>
      <c r="H253" s="424" t="s">
        <v>671</v>
      </c>
      <c r="I253" s="424" t="s">
        <v>671</v>
      </c>
      <c r="J253" s="424" t="s">
        <v>671</v>
      </c>
      <c r="K253" s="424" t="s">
        <v>671</v>
      </c>
      <c r="L253" s="259"/>
      <c r="M253" s="252"/>
      <c r="N253" s="220"/>
    </row>
    <row r="254" spans="2:14">
      <c r="B254" s="249"/>
      <c r="C254" s="249"/>
      <c r="D254" s="249"/>
      <c r="E254" s="249"/>
      <c r="G254" s="277"/>
      <c r="H254" s="277"/>
      <c r="I254" s="255"/>
      <c r="J254" s="277"/>
      <c r="K254" s="255"/>
      <c r="L254" s="255"/>
    </row>
    <row r="255" spans="2:14">
      <c r="B255" s="255"/>
      <c r="C255" s="256" t="s">
        <v>276</v>
      </c>
      <c r="D255" s="255"/>
      <c r="E255" s="255"/>
      <c r="G255" s="424" t="s">
        <v>671</v>
      </c>
      <c r="H255" s="424" t="s">
        <v>671</v>
      </c>
      <c r="I255" s="424" t="s">
        <v>671</v>
      </c>
      <c r="J255" s="424" t="s">
        <v>671</v>
      </c>
      <c r="K255" s="424" t="s">
        <v>671</v>
      </c>
      <c r="L255" s="255"/>
      <c r="M255" s="314"/>
    </row>
    <row r="256" spans="2:14">
      <c r="B256" s="249"/>
      <c r="C256" s="256" t="s">
        <v>277</v>
      </c>
      <c r="D256" s="255"/>
      <c r="E256" s="255"/>
      <c r="G256" s="424" t="s">
        <v>671</v>
      </c>
      <c r="H256" s="424" t="s">
        <v>671</v>
      </c>
      <c r="I256" s="424" t="s">
        <v>671</v>
      </c>
      <c r="J256" s="424" t="s">
        <v>671</v>
      </c>
      <c r="K256" s="424" t="s">
        <v>671</v>
      </c>
      <c r="L256" s="255"/>
      <c r="M256" s="314"/>
    </row>
    <row r="257" spans="2:13">
      <c r="B257" s="249"/>
      <c r="C257" s="256" t="s">
        <v>278</v>
      </c>
      <c r="D257" s="255"/>
      <c r="E257" s="255"/>
      <c r="G257" s="424" t="s">
        <v>671</v>
      </c>
      <c r="H257" s="424" t="s">
        <v>671</v>
      </c>
      <c r="I257" s="424" t="s">
        <v>671</v>
      </c>
      <c r="J257" s="424" t="s">
        <v>671</v>
      </c>
      <c r="K257" s="424" t="s">
        <v>671</v>
      </c>
      <c r="L257" s="255"/>
      <c r="M257" s="314"/>
    </row>
    <row r="258" spans="2:13">
      <c r="B258" s="249"/>
      <c r="C258" s="256" t="s">
        <v>279</v>
      </c>
      <c r="D258" s="255"/>
      <c r="E258" s="255"/>
      <c r="G258" s="424" t="s">
        <v>671</v>
      </c>
      <c r="H258" s="424" t="s">
        <v>671</v>
      </c>
      <c r="I258" s="424" t="s">
        <v>671</v>
      </c>
      <c r="J258" s="424" t="s">
        <v>671</v>
      </c>
      <c r="K258" s="424" t="s">
        <v>671</v>
      </c>
      <c r="L258" s="255"/>
      <c r="M258" s="314"/>
    </row>
    <row r="259" spans="2:13">
      <c r="B259" s="249"/>
      <c r="C259" s="256" t="s">
        <v>280</v>
      </c>
      <c r="D259" s="255"/>
      <c r="E259" s="255"/>
      <c r="G259" s="424" t="s">
        <v>671</v>
      </c>
      <c r="H259" s="424" t="s">
        <v>671</v>
      </c>
      <c r="I259" s="424" t="s">
        <v>671</v>
      </c>
      <c r="J259" s="424" t="s">
        <v>671</v>
      </c>
      <c r="K259" s="424" t="s">
        <v>671</v>
      </c>
      <c r="L259" s="255"/>
      <c r="M259" s="314"/>
    </row>
    <row r="260" spans="2:13">
      <c r="B260" s="249"/>
      <c r="C260" s="256" t="s">
        <v>281</v>
      </c>
      <c r="D260" s="255"/>
      <c r="E260" s="255"/>
      <c r="G260" s="424" t="s">
        <v>671</v>
      </c>
      <c r="H260" s="424" t="s">
        <v>671</v>
      </c>
      <c r="I260" s="424" t="s">
        <v>671</v>
      </c>
      <c r="J260" s="424" t="s">
        <v>671</v>
      </c>
      <c r="K260" s="424" t="s">
        <v>671</v>
      </c>
      <c r="L260" s="255"/>
      <c r="M260" s="314"/>
    </row>
    <row r="261" spans="2:13">
      <c r="B261" s="249"/>
      <c r="C261" s="256" t="s">
        <v>282</v>
      </c>
      <c r="D261" s="255"/>
      <c r="E261" s="255"/>
      <c r="G261" s="424" t="s">
        <v>671</v>
      </c>
      <c r="H261" s="424" t="s">
        <v>671</v>
      </c>
      <c r="I261" s="424" t="s">
        <v>671</v>
      </c>
      <c r="J261" s="424" t="s">
        <v>671</v>
      </c>
      <c r="K261" s="424" t="s">
        <v>671</v>
      </c>
      <c r="L261" s="255"/>
      <c r="M261" s="314"/>
    </row>
    <row r="262" spans="2:13">
      <c r="B262" s="249"/>
      <c r="C262" s="256" t="s">
        <v>283</v>
      </c>
      <c r="D262" s="255"/>
      <c r="E262" s="255"/>
      <c r="G262" s="424" t="s">
        <v>671</v>
      </c>
      <c r="H262" s="424" t="s">
        <v>671</v>
      </c>
      <c r="I262" s="424" t="s">
        <v>671</v>
      </c>
      <c r="J262" s="424" t="s">
        <v>671</v>
      </c>
      <c r="K262" s="424" t="s">
        <v>671</v>
      </c>
      <c r="L262" s="255"/>
      <c r="M262" s="314"/>
    </row>
    <row r="263" spans="2:13">
      <c r="B263" s="249"/>
      <c r="C263" s="256" t="s">
        <v>284</v>
      </c>
      <c r="D263" s="255"/>
      <c r="E263" s="255"/>
      <c r="G263" s="424" t="s">
        <v>671</v>
      </c>
      <c r="H263" s="424" t="s">
        <v>671</v>
      </c>
      <c r="I263" s="424" t="s">
        <v>671</v>
      </c>
      <c r="J263" s="424" t="s">
        <v>671</v>
      </c>
      <c r="K263" s="424" t="s">
        <v>671</v>
      </c>
      <c r="L263" s="255"/>
      <c r="M263" s="314"/>
    </row>
    <row r="264" spans="2:13">
      <c r="B264" s="249"/>
      <c r="C264" s="256" t="s">
        <v>285</v>
      </c>
      <c r="D264" s="255"/>
      <c r="E264" s="255"/>
      <c r="G264" s="424" t="s">
        <v>671</v>
      </c>
      <c r="H264" s="424" t="s">
        <v>671</v>
      </c>
      <c r="I264" s="424" t="s">
        <v>671</v>
      </c>
      <c r="J264" s="424" t="s">
        <v>671</v>
      </c>
      <c r="K264" s="424" t="s">
        <v>671</v>
      </c>
      <c r="L264" s="255"/>
      <c r="M264" s="314"/>
    </row>
    <row r="265" spans="2:13">
      <c r="B265" s="249"/>
      <c r="C265" s="256" t="s">
        <v>286</v>
      </c>
      <c r="D265" s="255"/>
      <c r="E265" s="255"/>
      <c r="G265" s="424" t="s">
        <v>671</v>
      </c>
      <c r="H265" s="424" t="s">
        <v>671</v>
      </c>
      <c r="I265" s="424" t="s">
        <v>671</v>
      </c>
      <c r="J265" s="424" t="s">
        <v>671</v>
      </c>
      <c r="K265" s="424" t="s">
        <v>671</v>
      </c>
      <c r="L265" s="255"/>
      <c r="M265" s="314"/>
    </row>
    <row r="266" spans="2:13">
      <c r="B266" s="249"/>
      <c r="C266" s="256" t="s">
        <v>287</v>
      </c>
      <c r="D266" s="255"/>
      <c r="E266" s="255"/>
      <c r="G266" s="221"/>
      <c r="H266" s="221"/>
      <c r="I266" s="221"/>
      <c r="J266" s="221"/>
      <c r="K266" s="221"/>
      <c r="L266" s="255"/>
      <c r="M266" s="314"/>
    </row>
    <row r="267" spans="2:13">
      <c r="B267" s="249"/>
      <c r="C267" s="256" t="s">
        <v>288</v>
      </c>
      <c r="D267" s="255"/>
      <c r="E267" s="255"/>
      <c r="G267" s="424" t="s">
        <v>671</v>
      </c>
      <c r="H267" s="424" t="s">
        <v>671</v>
      </c>
      <c r="I267" s="424" t="s">
        <v>671</v>
      </c>
      <c r="J267" s="424" t="s">
        <v>671</v>
      </c>
      <c r="K267" s="424" t="s">
        <v>671</v>
      </c>
      <c r="L267" s="255"/>
      <c r="M267" s="314"/>
    </row>
    <row r="268" spans="2:13">
      <c r="B268" s="249"/>
      <c r="C268" s="255"/>
      <c r="D268" s="255"/>
      <c r="E268" s="255"/>
      <c r="G268" s="221"/>
      <c r="H268" s="221"/>
      <c r="I268" s="221"/>
      <c r="J268" s="221"/>
      <c r="K268" s="221"/>
      <c r="L268" s="255"/>
      <c r="M268" s="314"/>
    </row>
    <row r="269" spans="2:13">
      <c r="B269" s="249"/>
      <c r="C269" s="256" t="s">
        <v>227</v>
      </c>
      <c r="D269" s="255"/>
      <c r="E269" s="255"/>
      <c r="G269" s="424" t="s">
        <v>671</v>
      </c>
      <c r="H269" s="424" t="s">
        <v>671</v>
      </c>
      <c r="I269" s="424" t="s">
        <v>671</v>
      </c>
      <c r="J269" s="424" t="s">
        <v>671</v>
      </c>
      <c r="K269" s="424" t="s">
        <v>671</v>
      </c>
      <c r="L269" s="255"/>
      <c r="M269" s="314"/>
    </row>
    <row r="270" spans="2:13">
      <c r="B270" s="249"/>
      <c r="C270" s="255"/>
      <c r="D270" s="255"/>
      <c r="E270" s="255"/>
      <c r="G270" s="270"/>
      <c r="H270" s="277"/>
      <c r="I270" s="270"/>
      <c r="J270" s="270"/>
      <c r="K270" s="270"/>
      <c r="L270" s="255"/>
    </row>
    <row r="271" spans="2:13">
      <c r="B271" s="249"/>
      <c r="C271" s="256" t="s">
        <v>36</v>
      </c>
      <c r="D271" s="255"/>
      <c r="E271" s="255"/>
      <c r="G271" s="424" t="s">
        <v>671</v>
      </c>
      <c r="H271" s="424" t="s">
        <v>671</v>
      </c>
      <c r="I271" s="424" t="s">
        <v>671</v>
      </c>
      <c r="J271" s="424" t="s">
        <v>671</v>
      </c>
      <c r="K271" s="424" t="s">
        <v>671</v>
      </c>
      <c r="L271" s="255"/>
      <c r="M271" s="314"/>
    </row>
    <row r="272" spans="2:13">
      <c r="B272" s="249"/>
      <c r="C272" s="249"/>
      <c r="D272" s="249"/>
      <c r="E272" s="249"/>
      <c r="G272" s="277"/>
      <c r="H272" s="277"/>
      <c r="I272" s="255"/>
      <c r="J272" s="277"/>
      <c r="K272" s="255"/>
      <c r="L272" s="255"/>
    </row>
    <row r="273" spans="2:18">
      <c r="B273" s="257" t="s">
        <v>307</v>
      </c>
      <c r="C273" s="255"/>
      <c r="D273" s="255"/>
      <c r="E273" s="255"/>
      <c r="G273" s="424" t="s">
        <v>671</v>
      </c>
      <c r="H273" s="424" t="s">
        <v>671</v>
      </c>
      <c r="I273" s="424" t="s">
        <v>671</v>
      </c>
      <c r="J273" s="424" t="s">
        <v>671</v>
      </c>
      <c r="K273" s="424" t="s">
        <v>671</v>
      </c>
      <c r="L273" s="259"/>
      <c r="M273" s="252"/>
      <c r="N273" s="220" t="s">
        <v>455</v>
      </c>
    </row>
    <row r="274" spans="2:18">
      <c r="B274" s="249"/>
      <c r="C274" s="249"/>
      <c r="D274" s="249"/>
      <c r="E274" s="249"/>
      <c r="G274" s="277"/>
      <c r="H274" s="277"/>
      <c r="I274" s="255"/>
      <c r="J274" s="277"/>
      <c r="K274" s="255"/>
      <c r="L274" s="255"/>
    </row>
    <row r="275" spans="2:18">
      <c r="B275" s="255"/>
      <c r="C275" s="256" t="s">
        <v>360</v>
      </c>
      <c r="D275" s="255"/>
      <c r="E275" s="255"/>
      <c r="G275" s="424" t="s">
        <v>671</v>
      </c>
      <c r="H275" s="424" t="s">
        <v>671</v>
      </c>
      <c r="I275" s="424" t="s">
        <v>671</v>
      </c>
      <c r="J275" s="424" t="s">
        <v>671</v>
      </c>
      <c r="K275" s="424" t="s">
        <v>671</v>
      </c>
      <c r="L275" s="255"/>
      <c r="N275" s="424" t="s">
        <v>671</v>
      </c>
    </row>
    <row r="276" spans="2:18">
      <c r="B276" s="255"/>
      <c r="C276" s="256" t="s">
        <v>361</v>
      </c>
      <c r="D276" s="255"/>
      <c r="E276" s="255"/>
      <c r="G276" s="424" t="s">
        <v>671</v>
      </c>
      <c r="H276" s="424" t="s">
        <v>671</v>
      </c>
      <c r="I276" s="424" t="s">
        <v>671</v>
      </c>
      <c r="J276" s="424" t="s">
        <v>671</v>
      </c>
      <c r="K276" s="424" t="s">
        <v>671</v>
      </c>
      <c r="L276" s="255"/>
      <c r="N276" s="424" t="s">
        <v>671</v>
      </c>
    </row>
    <row r="277" spans="2:18" s="277" customFormat="1">
      <c r="B277" s="255"/>
      <c r="D277" s="255"/>
      <c r="E277" s="255"/>
      <c r="F277" s="255"/>
      <c r="G277" s="269"/>
      <c r="H277" s="269"/>
      <c r="I277" s="269"/>
      <c r="J277" s="269"/>
      <c r="K277" s="269"/>
      <c r="L277" s="255"/>
      <c r="M277" s="284"/>
      <c r="N277" s="269"/>
      <c r="O277" s="255"/>
      <c r="P277" s="255"/>
      <c r="Q277" s="255"/>
      <c r="R277" s="255"/>
    </row>
    <row r="278" spans="2:18" s="277" customFormat="1">
      <c r="B278" s="318" t="s">
        <v>238</v>
      </c>
      <c r="D278" s="255"/>
      <c r="E278" s="255"/>
      <c r="F278" s="255"/>
      <c r="G278" s="269"/>
      <c r="H278" s="269"/>
      <c r="I278" s="269"/>
      <c r="J278" s="269"/>
      <c r="K278" s="269"/>
      <c r="L278" s="255"/>
      <c r="M278" s="284"/>
      <c r="N278" s="269"/>
      <c r="O278" s="255"/>
      <c r="P278" s="255"/>
      <c r="Q278" s="255"/>
      <c r="R278" s="255"/>
    </row>
    <row r="279" spans="2:18" s="277" customFormat="1">
      <c r="B279" s="318"/>
      <c r="D279" s="255"/>
      <c r="E279" s="255"/>
      <c r="F279" s="255"/>
      <c r="G279" s="269"/>
      <c r="H279" s="269"/>
      <c r="I279" s="269"/>
      <c r="J279" s="269"/>
      <c r="K279" s="269"/>
      <c r="L279" s="255"/>
      <c r="M279" s="284"/>
      <c r="N279" s="269"/>
      <c r="O279" s="255"/>
      <c r="P279" s="255"/>
      <c r="Q279" s="255"/>
      <c r="R279" s="255"/>
    </row>
    <row r="280" spans="2:18" s="277" customFormat="1">
      <c r="B280" s="319" t="s">
        <v>423</v>
      </c>
      <c r="D280" s="255"/>
      <c r="E280" s="255"/>
      <c r="F280" s="255"/>
      <c r="G280" s="424" t="s">
        <v>671</v>
      </c>
      <c r="H280" s="424" t="s">
        <v>671</v>
      </c>
      <c r="I280" s="424" t="s">
        <v>671</v>
      </c>
      <c r="J280" s="424" t="s">
        <v>671</v>
      </c>
      <c r="K280" s="424" t="s">
        <v>671</v>
      </c>
      <c r="L280" s="255"/>
      <c r="M280" s="284"/>
      <c r="N280" s="269"/>
      <c r="O280" s="255"/>
      <c r="P280" s="255"/>
      <c r="Q280" s="255"/>
      <c r="R280" s="255"/>
    </row>
    <row r="281" spans="2:18" s="277" customFormat="1">
      <c r="B281" s="319"/>
      <c r="D281" s="255"/>
      <c r="E281" s="255"/>
      <c r="F281" s="255"/>
      <c r="G281" s="424" t="s">
        <v>671</v>
      </c>
      <c r="H281" s="424" t="s">
        <v>671</v>
      </c>
      <c r="I281" s="424" t="s">
        <v>671</v>
      </c>
      <c r="J281" s="424" t="s">
        <v>671</v>
      </c>
      <c r="K281" s="424" t="s">
        <v>671</v>
      </c>
      <c r="L281" s="255"/>
      <c r="M281" s="284"/>
      <c r="N281" s="269"/>
      <c r="O281" s="255"/>
      <c r="P281" s="255"/>
      <c r="Q281" s="255"/>
      <c r="R281" s="255"/>
    </row>
    <row r="282" spans="2:18" s="277" customFormat="1">
      <c r="B282" s="318"/>
      <c r="D282" s="255"/>
      <c r="E282" s="255"/>
      <c r="F282" s="255"/>
      <c r="G282" s="269"/>
      <c r="H282" s="269"/>
      <c r="I282" s="269"/>
      <c r="J282" s="269"/>
      <c r="K282" s="269"/>
      <c r="L282" s="255"/>
      <c r="M282" s="284"/>
      <c r="N282" s="269"/>
      <c r="O282" s="255"/>
      <c r="P282" s="255"/>
      <c r="Q282" s="255"/>
      <c r="R282" s="255"/>
    </row>
    <row r="283" spans="2:18" s="277" customFormat="1">
      <c r="B283" s="277" t="s">
        <v>21</v>
      </c>
      <c r="D283" s="255"/>
      <c r="E283" s="255"/>
      <c r="F283" s="255"/>
      <c r="G283" s="424" t="s">
        <v>671</v>
      </c>
      <c r="H283" s="424" t="s">
        <v>671</v>
      </c>
      <c r="I283" s="424" t="s">
        <v>671</v>
      </c>
      <c r="J283" s="424" t="s">
        <v>671</v>
      </c>
      <c r="K283" s="424" t="s">
        <v>671</v>
      </c>
      <c r="L283" s="255"/>
      <c r="M283" s="284"/>
      <c r="N283" s="269"/>
      <c r="O283" s="255"/>
      <c r="P283" s="255"/>
      <c r="Q283" s="255"/>
      <c r="R283" s="255"/>
    </row>
    <row r="284" spans="2:18">
      <c r="C284" s="180" t="s">
        <v>15</v>
      </c>
      <c r="G284" s="424" t="s">
        <v>671</v>
      </c>
      <c r="H284" s="424" t="s">
        <v>671</v>
      </c>
      <c r="I284" s="424" t="s">
        <v>671</v>
      </c>
      <c r="J284" s="424" t="s">
        <v>671</v>
      </c>
      <c r="K284" s="424" t="s">
        <v>671</v>
      </c>
      <c r="L284" s="255"/>
    </row>
    <row r="285" spans="2:18">
      <c r="C285" s="180" t="s">
        <v>16</v>
      </c>
      <c r="G285" s="424" t="s">
        <v>671</v>
      </c>
      <c r="H285" s="424" t="s">
        <v>671</v>
      </c>
      <c r="I285" s="424" t="s">
        <v>671</v>
      </c>
      <c r="J285" s="424" t="s">
        <v>671</v>
      </c>
      <c r="K285" s="424" t="s">
        <v>671</v>
      </c>
      <c r="L285" s="255"/>
    </row>
    <row r="286" spans="2:18" s="277" customFormat="1">
      <c r="C286" s="277" t="s">
        <v>17</v>
      </c>
      <c r="F286" s="255"/>
      <c r="G286" s="424" t="s">
        <v>671</v>
      </c>
      <c r="H286" s="424" t="s">
        <v>671</v>
      </c>
      <c r="I286" s="424" t="s">
        <v>671</v>
      </c>
      <c r="J286" s="424" t="s">
        <v>671</v>
      </c>
      <c r="K286" s="424" t="s">
        <v>671</v>
      </c>
      <c r="L286" s="255"/>
      <c r="M286" s="284"/>
      <c r="O286" s="255"/>
      <c r="P286" s="255"/>
      <c r="Q286" s="255"/>
      <c r="R286" s="255"/>
    </row>
    <row r="287" spans="2:18" s="277" customFormat="1">
      <c r="F287" s="255"/>
      <c r="G287" s="269"/>
      <c r="H287" s="269"/>
      <c r="I287" s="269"/>
      <c r="J287" s="269"/>
      <c r="K287" s="269"/>
      <c r="L287" s="255"/>
      <c r="M287" s="284"/>
      <c r="O287" s="255"/>
      <c r="P287" s="255"/>
      <c r="Q287" s="255"/>
      <c r="R287" s="255"/>
    </row>
    <row r="288" spans="2:18" s="277" customFormat="1">
      <c r="B288" s="277" t="s">
        <v>22</v>
      </c>
      <c r="F288" s="255"/>
      <c r="G288" s="424" t="s">
        <v>671</v>
      </c>
      <c r="H288" s="424" t="s">
        <v>671</v>
      </c>
      <c r="I288" s="424" t="s">
        <v>671</v>
      </c>
      <c r="J288" s="424" t="s">
        <v>671</v>
      </c>
      <c r="K288" s="424" t="s">
        <v>671</v>
      </c>
      <c r="L288" s="255"/>
      <c r="M288" s="284"/>
      <c r="O288" s="255"/>
      <c r="P288" s="255"/>
      <c r="Q288" s="255"/>
      <c r="R288" s="255"/>
    </row>
    <row r="289" spans="2:18" s="277" customFormat="1">
      <c r="C289" s="277" t="s">
        <v>15</v>
      </c>
      <c r="F289" s="255"/>
      <c r="G289" s="424" t="s">
        <v>671</v>
      </c>
      <c r="H289" s="424" t="s">
        <v>671</v>
      </c>
      <c r="I289" s="424" t="s">
        <v>671</v>
      </c>
      <c r="J289" s="424" t="s">
        <v>671</v>
      </c>
      <c r="K289" s="424" t="s">
        <v>671</v>
      </c>
      <c r="L289" s="255"/>
      <c r="M289" s="284"/>
      <c r="O289" s="255"/>
      <c r="P289" s="255"/>
      <c r="Q289" s="255"/>
      <c r="R289" s="255"/>
    </row>
    <row r="290" spans="2:18" s="277" customFormat="1">
      <c r="C290" s="277" t="s">
        <v>16</v>
      </c>
      <c r="F290" s="255"/>
      <c r="G290" s="424" t="s">
        <v>671</v>
      </c>
      <c r="H290" s="424" t="s">
        <v>671</v>
      </c>
      <c r="I290" s="424" t="s">
        <v>671</v>
      </c>
      <c r="J290" s="424" t="s">
        <v>671</v>
      </c>
      <c r="K290" s="424" t="s">
        <v>671</v>
      </c>
      <c r="L290" s="255"/>
      <c r="M290" s="284"/>
      <c r="O290" s="255"/>
      <c r="P290" s="255"/>
      <c r="Q290" s="255"/>
      <c r="R290" s="255"/>
    </row>
    <row r="291" spans="2:18" s="277" customFormat="1">
      <c r="C291" s="277" t="s">
        <v>17</v>
      </c>
      <c r="F291" s="255"/>
      <c r="G291" s="424" t="s">
        <v>671</v>
      </c>
      <c r="H291" s="424" t="s">
        <v>671</v>
      </c>
      <c r="I291" s="424" t="s">
        <v>671</v>
      </c>
      <c r="J291" s="424" t="s">
        <v>671</v>
      </c>
      <c r="K291" s="424" t="s">
        <v>671</v>
      </c>
      <c r="L291" s="255"/>
      <c r="M291" s="284"/>
      <c r="O291" s="255"/>
      <c r="P291" s="255"/>
      <c r="Q291" s="255"/>
      <c r="R291" s="255"/>
    </row>
    <row r="292" spans="2:18" s="277" customFormat="1">
      <c r="F292" s="255"/>
      <c r="L292" s="255"/>
      <c r="M292" s="284"/>
      <c r="O292" s="255"/>
      <c r="P292" s="255"/>
      <c r="Q292" s="255"/>
      <c r="R292" s="255"/>
    </row>
    <row r="293" spans="2:18">
      <c r="B293" s="257" t="s">
        <v>347</v>
      </c>
      <c r="G293" s="277"/>
      <c r="H293" s="277"/>
      <c r="I293" s="277"/>
      <c r="J293" s="277"/>
      <c r="K293" s="277"/>
      <c r="L293" s="255"/>
    </row>
    <row r="294" spans="2:18">
      <c r="G294" s="277"/>
      <c r="H294" s="277"/>
      <c r="I294" s="277"/>
      <c r="J294" s="277"/>
      <c r="K294" s="277"/>
      <c r="L294" s="255"/>
    </row>
    <row r="295" spans="2:18">
      <c r="C295" s="180" t="s">
        <v>348</v>
      </c>
      <c r="G295" s="277"/>
      <c r="H295" s="277"/>
      <c r="I295" s="277"/>
      <c r="J295" s="277"/>
      <c r="K295" s="277"/>
      <c r="L295" s="255"/>
    </row>
    <row r="296" spans="2:18">
      <c r="C296" s="180" t="s">
        <v>21</v>
      </c>
      <c r="G296" s="424" t="s">
        <v>671</v>
      </c>
      <c r="H296" s="424" t="s">
        <v>671</v>
      </c>
      <c r="I296" s="424" t="s">
        <v>671</v>
      </c>
      <c r="J296" s="424" t="s">
        <v>671</v>
      </c>
      <c r="K296" s="424" t="s">
        <v>671</v>
      </c>
      <c r="L296" s="255"/>
      <c r="M296" s="252" t="s">
        <v>353</v>
      </c>
      <c r="N296" s="255"/>
      <c r="R296" s="180"/>
    </row>
    <row r="297" spans="2:18">
      <c r="C297" s="282" t="s">
        <v>349</v>
      </c>
      <c r="D297" s="282"/>
      <c r="E297" s="282"/>
      <c r="G297" s="424" t="s">
        <v>671</v>
      </c>
      <c r="H297" s="424" t="s">
        <v>671</v>
      </c>
      <c r="I297" s="424" t="s">
        <v>671</v>
      </c>
      <c r="J297" s="424" t="s">
        <v>671</v>
      </c>
      <c r="K297" s="424" t="s">
        <v>671</v>
      </c>
      <c r="L297" s="255"/>
      <c r="M297" s="426">
        <v>0.36090959077842638</v>
      </c>
      <c r="N297" s="255"/>
      <c r="R297" s="180"/>
    </row>
    <row r="298" spans="2:18">
      <c r="C298" s="282" t="s">
        <v>350</v>
      </c>
      <c r="D298" s="282"/>
      <c r="E298" s="282"/>
      <c r="G298" s="424" t="s">
        <v>671</v>
      </c>
      <c r="H298" s="424" t="s">
        <v>671</v>
      </c>
      <c r="I298" s="424" t="s">
        <v>671</v>
      </c>
      <c r="J298" s="424" t="s">
        <v>671</v>
      </c>
      <c r="K298" s="424" t="s">
        <v>671</v>
      </c>
      <c r="L298" s="255"/>
      <c r="M298" s="426">
        <v>0.11884148279914851</v>
      </c>
      <c r="N298" s="255"/>
      <c r="R298" s="180"/>
    </row>
    <row r="299" spans="2:18">
      <c r="C299" s="282" t="s">
        <v>351</v>
      </c>
      <c r="D299" s="282"/>
      <c r="E299" s="282"/>
      <c r="G299" s="424" t="s">
        <v>671</v>
      </c>
      <c r="H299" s="424" t="s">
        <v>671</v>
      </c>
      <c r="I299" s="424" t="s">
        <v>671</v>
      </c>
      <c r="J299" s="424" t="s">
        <v>671</v>
      </c>
      <c r="K299" s="424" t="s">
        <v>671</v>
      </c>
      <c r="L299" s="255"/>
      <c r="M299" s="426">
        <v>0.13004216746174926</v>
      </c>
      <c r="N299" s="255"/>
      <c r="R299" s="180"/>
    </row>
    <row r="300" spans="2:18">
      <c r="C300" s="282" t="s">
        <v>354</v>
      </c>
      <c r="D300" s="282"/>
      <c r="E300" s="282"/>
      <c r="G300" s="424" t="s">
        <v>671</v>
      </c>
      <c r="H300" s="424" t="s">
        <v>671</v>
      </c>
      <c r="I300" s="424" t="s">
        <v>671</v>
      </c>
      <c r="J300" s="424" t="s">
        <v>671</v>
      </c>
      <c r="K300" s="424" t="s">
        <v>671</v>
      </c>
      <c r="L300" s="255"/>
      <c r="M300" s="426">
        <v>0.14259478627485417</v>
      </c>
      <c r="N300" s="255"/>
      <c r="R300" s="180"/>
    </row>
    <row r="301" spans="2:18">
      <c r="C301" s="282" t="s">
        <v>227</v>
      </c>
      <c r="D301" s="282"/>
      <c r="E301" s="282"/>
      <c r="G301" s="424" t="s">
        <v>671</v>
      </c>
      <c r="H301" s="424" t="s">
        <v>671</v>
      </c>
      <c r="I301" s="424" t="s">
        <v>671</v>
      </c>
      <c r="J301" s="424" t="s">
        <v>671</v>
      </c>
      <c r="K301" s="424" t="s">
        <v>671</v>
      </c>
      <c r="L301" s="255"/>
      <c r="M301" s="426">
        <v>0.24761197268582169</v>
      </c>
      <c r="N301" s="255"/>
      <c r="R301" s="180"/>
    </row>
    <row r="302" spans="2:18">
      <c r="G302" s="247"/>
      <c r="H302" s="247"/>
      <c r="I302" s="247"/>
      <c r="J302" s="247"/>
      <c r="K302" s="247"/>
      <c r="L302" s="255"/>
      <c r="M302" s="247"/>
      <c r="N302" s="255"/>
      <c r="R302" s="180"/>
    </row>
    <row r="303" spans="2:18">
      <c r="C303" s="180" t="s">
        <v>22</v>
      </c>
      <c r="G303" s="424" t="s">
        <v>671</v>
      </c>
      <c r="H303" s="424" t="s">
        <v>671</v>
      </c>
      <c r="I303" s="424" t="s">
        <v>671</v>
      </c>
      <c r="J303" s="424" t="s">
        <v>671</v>
      </c>
      <c r="K303" s="424" t="s">
        <v>671</v>
      </c>
      <c r="L303" s="255"/>
      <c r="M303" s="252" t="s">
        <v>353</v>
      </c>
      <c r="N303" s="255"/>
      <c r="R303" s="180"/>
    </row>
    <row r="304" spans="2:18">
      <c r="C304" s="282" t="s">
        <v>349</v>
      </c>
      <c r="G304" s="424" t="s">
        <v>671</v>
      </c>
      <c r="H304" s="424" t="s">
        <v>671</v>
      </c>
      <c r="I304" s="424" t="s">
        <v>671</v>
      </c>
      <c r="J304" s="424" t="s">
        <v>671</v>
      </c>
      <c r="K304" s="424" t="s">
        <v>671</v>
      </c>
      <c r="L304" s="255"/>
      <c r="M304" s="426">
        <v>0.58398950131233596</v>
      </c>
      <c r="N304" s="255"/>
      <c r="R304" s="180"/>
    </row>
    <row r="305" spans="3:18">
      <c r="C305" s="282" t="s">
        <v>350</v>
      </c>
      <c r="G305" s="424" t="s">
        <v>671</v>
      </c>
      <c r="H305" s="424" t="s">
        <v>671</v>
      </c>
      <c r="I305" s="424" t="s">
        <v>671</v>
      </c>
      <c r="J305" s="424" t="s">
        <v>671</v>
      </c>
      <c r="K305" s="424" t="s">
        <v>671</v>
      </c>
      <c r="L305" s="255"/>
      <c r="M305" s="426">
        <v>0.16916010498687664</v>
      </c>
      <c r="N305" s="255"/>
      <c r="R305" s="180"/>
    </row>
    <row r="306" spans="3:18">
      <c r="C306" s="282" t="s">
        <v>351</v>
      </c>
      <c r="G306" s="424" t="s">
        <v>671</v>
      </c>
      <c r="H306" s="424" t="s">
        <v>671</v>
      </c>
      <c r="I306" s="424" t="s">
        <v>671</v>
      </c>
      <c r="J306" s="424" t="s">
        <v>671</v>
      </c>
      <c r="K306" s="424" t="s">
        <v>671</v>
      </c>
      <c r="L306" s="255"/>
      <c r="M306" s="426">
        <v>0.15498687664041996</v>
      </c>
      <c r="N306" s="255"/>
      <c r="R306" s="180"/>
    </row>
    <row r="307" spans="3:18">
      <c r="C307" s="282" t="s">
        <v>352</v>
      </c>
      <c r="G307" s="424" t="s">
        <v>671</v>
      </c>
      <c r="H307" s="424" t="s">
        <v>671</v>
      </c>
      <c r="I307" s="424" t="s">
        <v>671</v>
      </c>
      <c r="J307" s="424" t="s">
        <v>671</v>
      </c>
      <c r="K307" s="424" t="s">
        <v>671</v>
      </c>
      <c r="L307" s="255"/>
      <c r="M307" s="426">
        <v>3.937007874015748E-2</v>
      </c>
      <c r="N307" s="255"/>
      <c r="R307" s="180"/>
    </row>
    <row r="308" spans="3:18">
      <c r="C308" s="282" t="s">
        <v>227</v>
      </c>
      <c r="G308" s="424" t="s">
        <v>671</v>
      </c>
      <c r="H308" s="424" t="s">
        <v>671</v>
      </c>
      <c r="I308" s="424" t="s">
        <v>671</v>
      </c>
      <c r="J308" s="424" t="s">
        <v>671</v>
      </c>
      <c r="K308" s="424" t="s">
        <v>671</v>
      </c>
      <c r="L308" s="255"/>
      <c r="M308" s="426">
        <v>5.2493438320209973E-2</v>
      </c>
      <c r="N308" s="255"/>
      <c r="R308" s="180"/>
    </row>
    <row r="309" spans="3:18">
      <c r="G309" s="247"/>
      <c r="H309" s="247"/>
      <c r="I309" s="247"/>
      <c r="J309" s="247"/>
      <c r="K309" s="247"/>
      <c r="L309" s="255"/>
      <c r="M309" s="247"/>
      <c r="N309" s="255"/>
      <c r="R309" s="180"/>
    </row>
    <row r="310" spans="3:18">
      <c r="C310" s="180" t="s">
        <v>16</v>
      </c>
      <c r="G310" s="247"/>
      <c r="H310" s="247"/>
      <c r="I310" s="247"/>
      <c r="J310" s="247"/>
      <c r="K310" s="247"/>
      <c r="L310" s="255"/>
      <c r="M310" s="247"/>
      <c r="N310" s="255"/>
      <c r="R310" s="180"/>
    </row>
    <row r="311" spans="3:18">
      <c r="C311" s="180" t="s">
        <v>21</v>
      </c>
      <c r="G311" s="424" t="s">
        <v>671</v>
      </c>
      <c r="H311" s="424" t="s">
        <v>671</v>
      </c>
      <c r="I311" s="424" t="s">
        <v>671</v>
      </c>
      <c r="J311" s="424" t="s">
        <v>671</v>
      </c>
      <c r="K311" s="424" t="s">
        <v>671</v>
      </c>
      <c r="L311" s="255"/>
      <c r="M311" s="252" t="s">
        <v>353</v>
      </c>
      <c r="N311" s="255"/>
      <c r="R311" s="180"/>
    </row>
    <row r="312" spans="3:18">
      <c r="C312" s="282" t="s">
        <v>349</v>
      </c>
      <c r="G312" s="424" t="s">
        <v>671</v>
      </c>
      <c r="H312" s="424" t="s">
        <v>671</v>
      </c>
      <c r="I312" s="424" t="s">
        <v>671</v>
      </c>
      <c r="J312" s="424" t="s">
        <v>671</v>
      </c>
      <c r="K312" s="424" t="s">
        <v>671</v>
      </c>
      <c r="L312" s="255"/>
      <c r="M312" s="426">
        <v>0.44826700712048428</v>
      </c>
      <c r="N312" s="255"/>
      <c r="R312" s="180"/>
    </row>
    <row r="313" spans="3:18">
      <c r="C313" s="282" t="s">
        <v>350</v>
      </c>
      <c r="G313" s="424" t="s">
        <v>671</v>
      </c>
      <c r="H313" s="424" t="s">
        <v>671</v>
      </c>
      <c r="I313" s="424" t="s">
        <v>671</v>
      </c>
      <c r="J313" s="424" t="s">
        <v>671</v>
      </c>
      <c r="K313" s="424" t="s">
        <v>671</v>
      </c>
      <c r="L313" s="255"/>
      <c r="M313" s="426">
        <v>0.15210164146221483</v>
      </c>
      <c r="N313" s="255"/>
      <c r="R313" s="180"/>
    </row>
    <row r="314" spans="3:18">
      <c r="C314" s="282" t="s">
        <v>351</v>
      </c>
      <c r="G314" s="424" t="s">
        <v>671</v>
      </c>
      <c r="H314" s="424" t="s">
        <v>671</v>
      </c>
      <c r="I314" s="424" t="s">
        <v>671</v>
      </c>
      <c r="J314" s="424" t="s">
        <v>671</v>
      </c>
      <c r="K314" s="424" t="s">
        <v>671</v>
      </c>
      <c r="L314" s="255"/>
      <c r="M314" s="426">
        <v>0.15969005320585908</v>
      </c>
      <c r="N314" s="255"/>
      <c r="R314" s="180"/>
    </row>
    <row r="315" spans="3:18">
      <c r="C315" s="282" t="s">
        <v>354</v>
      </c>
      <c r="G315" s="424" t="s">
        <v>671</v>
      </c>
      <c r="H315" s="424" t="s">
        <v>671</v>
      </c>
      <c r="I315" s="424" t="s">
        <v>671</v>
      </c>
      <c r="J315" s="424" t="s">
        <v>671</v>
      </c>
      <c r="K315" s="424" t="s">
        <v>671</v>
      </c>
      <c r="L315" s="255"/>
      <c r="M315" s="426">
        <v>6.759687972613132E-2</v>
      </c>
      <c r="N315" s="255"/>
      <c r="R315" s="180"/>
    </row>
    <row r="316" spans="3:18">
      <c r="C316" s="282" t="s">
        <v>227</v>
      </c>
      <c r="G316" s="424" t="s">
        <v>671</v>
      </c>
      <c r="H316" s="424" t="s">
        <v>671</v>
      </c>
      <c r="I316" s="424" t="s">
        <v>671</v>
      </c>
      <c r="J316" s="424" t="s">
        <v>671</v>
      </c>
      <c r="K316" s="424" t="s">
        <v>671</v>
      </c>
      <c r="L316" s="255"/>
      <c r="M316" s="426">
        <v>0.17234441848531051</v>
      </c>
      <c r="N316" s="255"/>
      <c r="R316" s="180"/>
    </row>
    <row r="317" spans="3:18">
      <c r="G317" s="247"/>
      <c r="H317" s="247"/>
      <c r="I317" s="247"/>
      <c r="J317" s="247"/>
      <c r="K317" s="247"/>
      <c r="L317" s="255"/>
      <c r="M317" s="247"/>
      <c r="N317" s="255"/>
      <c r="R317" s="180"/>
    </row>
    <row r="318" spans="3:18">
      <c r="C318" s="277" t="s">
        <v>22</v>
      </c>
      <c r="G318" s="424" t="s">
        <v>671</v>
      </c>
      <c r="H318" s="424" t="s">
        <v>671</v>
      </c>
      <c r="I318" s="424" t="s">
        <v>671</v>
      </c>
      <c r="J318" s="424" t="s">
        <v>671</v>
      </c>
      <c r="K318" s="424" t="s">
        <v>671</v>
      </c>
      <c r="L318" s="255"/>
      <c r="M318" s="252" t="s">
        <v>353</v>
      </c>
      <c r="N318" s="255"/>
      <c r="R318" s="180"/>
    </row>
    <row r="319" spans="3:18">
      <c r="C319" s="282" t="s">
        <v>349</v>
      </c>
      <c r="G319" s="424" t="s">
        <v>671</v>
      </c>
      <c r="H319" s="424" t="s">
        <v>671</v>
      </c>
      <c r="I319" s="424" t="s">
        <v>671</v>
      </c>
      <c r="J319" s="424" t="s">
        <v>671</v>
      </c>
      <c r="K319" s="424" t="s">
        <v>671</v>
      </c>
      <c r="L319" s="255"/>
      <c r="M319" s="426">
        <v>0.38739257892851786</v>
      </c>
      <c r="N319" s="255"/>
      <c r="R319" s="180"/>
    </row>
    <row r="320" spans="3:18">
      <c r="C320" s="282" t="s">
        <v>350</v>
      </c>
      <c r="G320" s="424" t="s">
        <v>671</v>
      </c>
      <c r="H320" s="424" t="s">
        <v>671</v>
      </c>
      <c r="I320" s="424" t="s">
        <v>671</v>
      </c>
      <c r="J320" s="424" t="s">
        <v>671</v>
      </c>
      <c r="K320" s="424" t="s">
        <v>671</v>
      </c>
      <c r="L320" s="255"/>
      <c r="M320" s="426">
        <v>0.23695391944281766</v>
      </c>
      <c r="N320" s="255"/>
      <c r="R320" s="180"/>
    </row>
    <row r="321" spans="3:18">
      <c r="C321" s="282" t="s">
        <v>351</v>
      </c>
      <c r="G321" s="424" t="s">
        <v>671</v>
      </c>
      <c r="H321" s="424" t="s">
        <v>671</v>
      </c>
      <c r="I321" s="424" t="s">
        <v>671</v>
      </c>
      <c r="J321" s="424" t="s">
        <v>671</v>
      </c>
      <c r="K321" s="424" t="s">
        <v>671</v>
      </c>
      <c r="L321" s="255"/>
      <c r="M321" s="426">
        <v>6.8395765472312714E-2</v>
      </c>
      <c r="N321" s="255"/>
      <c r="R321" s="180"/>
    </row>
    <row r="322" spans="3:18">
      <c r="C322" s="282" t="s">
        <v>354</v>
      </c>
      <c r="G322" s="424" t="s">
        <v>671</v>
      </c>
      <c r="H322" s="424" t="s">
        <v>671</v>
      </c>
      <c r="I322" s="424" t="s">
        <v>671</v>
      </c>
      <c r="J322" s="424" t="s">
        <v>671</v>
      </c>
      <c r="K322" s="424" t="s">
        <v>671</v>
      </c>
      <c r="L322" s="255"/>
      <c r="M322" s="426">
        <v>1.9085912052117265E-2</v>
      </c>
      <c r="N322" s="255"/>
      <c r="R322" s="180"/>
    </row>
    <row r="323" spans="3:18">
      <c r="C323" s="282" t="s">
        <v>227</v>
      </c>
      <c r="G323" s="424" t="s">
        <v>671</v>
      </c>
      <c r="H323" s="424" t="s">
        <v>671</v>
      </c>
      <c r="I323" s="424" t="s">
        <v>671</v>
      </c>
      <c r="J323" s="424" t="s">
        <v>671</v>
      </c>
      <c r="K323" s="424" t="s">
        <v>671</v>
      </c>
      <c r="L323" s="255"/>
      <c r="M323" s="426">
        <v>3.8171824104234531E-2</v>
      </c>
      <c r="N323" s="255"/>
      <c r="R323" s="180"/>
    </row>
    <row r="324" spans="3:18">
      <c r="G324" s="247"/>
      <c r="H324" s="247"/>
      <c r="I324" s="247"/>
      <c r="J324" s="247"/>
      <c r="K324" s="247"/>
      <c r="L324" s="255"/>
      <c r="M324" s="247"/>
      <c r="N324" s="255"/>
      <c r="R324" s="180"/>
    </row>
    <row r="325" spans="3:18">
      <c r="C325" s="277" t="s">
        <v>17</v>
      </c>
      <c r="G325" s="247"/>
      <c r="H325" s="247"/>
      <c r="I325" s="247"/>
      <c r="J325" s="247"/>
      <c r="K325" s="247"/>
      <c r="L325" s="255"/>
      <c r="M325" s="247"/>
      <c r="N325" s="255"/>
      <c r="R325" s="180"/>
    </row>
    <row r="326" spans="3:18">
      <c r="C326" s="277" t="s">
        <v>21</v>
      </c>
      <c r="G326" s="424" t="s">
        <v>671</v>
      </c>
      <c r="H326" s="424" t="s">
        <v>671</v>
      </c>
      <c r="I326" s="424" t="s">
        <v>671</v>
      </c>
      <c r="J326" s="424" t="s">
        <v>671</v>
      </c>
      <c r="K326" s="424" t="s">
        <v>671</v>
      </c>
      <c r="L326" s="255"/>
      <c r="M326" s="252" t="s">
        <v>353</v>
      </c>
      <c r="N326" s="255"/>
      <c r="R326" s="180"/>
    </row>
    <row r="327" spans="3:18">
      <c r="C327" s="282" t="s">
        <v>349</v>
      </c>
      <c r="G327" s="424" t="s">
        <v>671</v>
      </c>
      <c r="H327" s="424" t="s">
        <v>671</v>
      </c>
      <c r="I327" s="424" t="s">
        <v>671</v>
      </c>
      <c r="J327" s="424" t="s">
        <v>671</v>
      </c>
      <c r="K327" s="424" t="s">
        <v>671</v>
      </c>
      <c r="L327" s="255"/>
      <c r="M327" s="426">
        <v>0.42068173336691916</v>
      </c>
      <c r="N327" s="255"/>
      <c r="R327" s="180"/>
    </row>
    <row r="328" spans="3:18">
      <c r="C328" s="282" t="s">
        <v>350</v>
      </c>
      <c r="G328" s="424" t="s">
        <v>671</v>
      </c>
      <c r="H328" s="424" t="s">
        <v>671</v>
      </c>
      <c r="I328" s="424" t="s">
        <v>671</v>
      </c>
      <c r="J328" s="424" t="s">
        <v>671</v>
      </c>
      <c r="K328" s="424" t="s">
        <v>671</v>
      </c>
      <c r="L328" s="255"/>
      <c r="M328" s="426">
        <v>0.20247265623862798</v>
      </c>
      <c r="N328" s="255"/>
      <c r="R328" s="180"/>
    </row>
    <row r="329" spans="3:18">
      <c r="C329" s="282" t="s">
        <v>351</v>
      </c>
      <c r="G329" s="424" t="s">
        <v>671</v>
      </c>
      <c r="H329" s="424" t="s">
        <v>671</v>
      </c>
      <c r="I329" s="424" t="s">
        <v>671</v>
      </c>
      <c r="J329" s="424" t="s">
        <v>671</v>
      </c>
      <c r="K329" s="424" t="s">
        <v>671</v>
      </c>
      <c r="L329" s="255"/>
      <c r="M329" s="426">
        <v>0.25276567189815341</v>
      </c>
      <c r="N329" s="255"/>
      <c r="R329" s="180"/>
    </row>
    <row r="330" spans="3:18">
      <c r="C330" s="282" t="s">
        <v>354</v>
      </c>
      <c r="G330" s="424" t="s">
        <v>671</v>
      </c>
      <c r="H330" s="424" t="s">
        <v>671</v>
      </c>
      <c r="I330" s="424" t="s">
        <v>671</v>
      </c>
      <c r="J330" s="424" t="s">
        <v>671</v>
      </c>
      <c r="K330" s="424" t="s">
        <v>671</v>
      </c>
      <c r="L330" s="255"/>
      <c r="M330" s="426">
        <v>4.1571687671216925E-2</v>
      </c>
      <c r="N330" s="255"/>
      <c r="R330" s="180"/>
    </row>
    <row r="331" spans="3:18">
      <c r="C331" s="282" t="s">
        <v>227</v>
      </c>
      <c r="G331" s="424" t="s">
        <v>671</v>
      </c>
      <c r="H331" s="424" t="s">
        <v>671</v>
      </c>
      <c r="I331" s="424" t="s">
        <v>671</v>
      </c>
      <c r="J331" s="424" t="s">
        <v>671</v>
      </c>
      <c r="K331" s="424" t="s">
        <v>671</v>
      </c>
      <c r="L331" s="255"/>
      <c r="M331" s="426">
        <v>8.2508250825082508E-2</v>
      </c>
      <c r="N331" s="255"/>
      <c r="R331" s="180"/>
    </row>
    <row r="332" spans="3:18">
      <c r="C332" s="277"/>
      <c r="G332" s="247"/>
      <c r="H332" s="247"/>
      <c r="I332" s="247"/>
      <c r="J332" s="247"/>
      <c r="K332" s="247"/>
      <c r="L332" s="255"/>
      <c r="M332" s="247"/>
      <c r="N332" s="255"/>
      <c r="R332" s="180"/>
    </row>
    <row r="333" spans="3:18">
      <c r="C333" s="277" t="s">
        <v>22</v>
      </c>
      <c r="G333" s="424" t="s">
        <v>671</v>
      </c>
      <c r="H333" s="424" t="s">
        <v>671</v>
      </c>
      <c r="I333" s="424" t="s">
        <v>671</v>
      </c>
      <c r="J333" s="424" t="s">
        <v>671</v>
      </c>
      <c r="K333" s="424" t="s">
        <v>671</v>
      </c>
      <c r="L333" s="255"/>
      <c r="M333" s="252" t="s">
        <v>353</v>
      </c>
      <c r="N333" s="255"/>
      <c r="R333" s="180"/>
    </row>
    <row r="334" spans="3:18">
      <c r="C334" s="282" t="s">
        <v>349</v>
      </c>
      <c r="G334" s="424" t="s">
        <v>671</v>
      </c>
      <c r="H334" s="424" t="s">
        <v>671</v>
      </c>
      <c r="I334" s="424" t="s">
        <v>671</v>
      </c>
      <c r="J334" s="424" t="s">
        <v>671</v>
      </c>
      <c r="K334" s="424" t="s">
        <v>671</v>
      </c>
      <c r="L334" s="255"/>
      <c r="M334" s="426">
        <v>0.5756013745704468</v>
      </c>
      <c r="N334" s="255"/>
      <c r="R334" s="180"/>
    </row>
    <row r="335" spans="3:18">
      <c r="C335" s="282" t="s">
        <v>350</v>
      </c>
      <c r="G335" s="424" t="s">
        <v>671</v>
      </c>
      <c r="H335" s="424" t="s">
        <v>671</v>
      </c>
      <c r="I335" s="424" t="s">
        <v>671</v>
      </c>
      <c r="J335" s="424" t="s">
        <v>671</v>
      </c>
      <c r="K335" s="424" t="s">
        <v>671</v>
      </c>
      <c r="L335" s="255"/>
      <c r="M335" s="426">
        <v>0.15206185567010308</v>
      </c>
      <c r="N335" s="255"/>
      <c r="R335" s="180"/>
    </row>
    <row r="336" spans="3:18">
      <c r="C336" s="282" t="s">
        <v>351</v>
      </c>
      <c r="G336" s="424" t="s">
        <v>671</v>
      </c>
      <c r="H336" s="424" t="s">
        <v>671</v>
      </c>
      <c r="I336" s="424" t="s">
        <v>671</v>
      </c>
      <c r="J336" s="424" t="s">
        <v>671</v>
      </c>
      <c r="K336" s="424" t="s">
        <v>671</v>
      </c>
      <c r="L336" s="255"/>
      <c r="M336" s="426">
        <v>0.22079037800687284</v>
      </c>
      <c r="N336" s="255"/>
      <c r="R336" s="180"/>
    </row>
    <row r="337" spans="3:18">
      <c r="C337" s="282" t="s">
        <v>354</v>
      </c>
      <c r="G337" s="424" t="s">
        <v>671</v>
      </c>
      <c r="H337" s="424" t="s">
        <v>671</v>
      </c>
      <c r="I337" s="424" t="s">
        <v>671</v>
      </c>
      <c r="J337" s="424" t="s">
        <v>671</v>
      </c>
      <c r="K337" s="424" t="s">
        <v>671</v>
      </c>
      <c r="L337" s="255"/>
      <c r="M337" s="426">
        <v>5.1546391752577324E-2</v>
      </c>
      <c r="N337" s="255"/>
      <c r="R337" s="180"/>
    </row>
    <row r="338" spans="3:18">
      <c r="C338" s="282" t="s">
        <v>227</v>
      </c>
      <c r="G338" s="424" t="s">
        <v>671</v>
      </c>
      <c r="H338" s="424" t="s">
        <v>671</v>
      </c>
      <c r="I338" s="424" t="s">
        <v>671</v>
      </c>
      <c r="J338" s="424" t="s">
        <v>671</v>
      </c>
      <c r="K338" s="424" t="s">
        <v>671</v>
      </c>
      <c r="L338" s="255"/>
      <c r="M338" s="426">
        <v>0</v>
      </c>
      <c r="N338" s="255"/>
      <c r="R338" s="180"/>
    </row>
    <row r="353" spans="12:18">
      <c r="L353" s="180"/>
      <c r="M353" s="180"/>
      <c r="O353" s="180"/>
      <c r="P353" s="180"/>
      <c r="Q353" s="180"/>
      <c r="R353" s="180"/>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codeName="Sheet14">
    <tabColor rgb="FF002060"/>
  </sheetPr>
  <dimension ref="A2:R23"/>
  <sheetViews>
    <sheetView showGridLines="0" topLeftCell="A2" zoomScale="85" zoomScaleNormal="85" workbookViewId="0">
      <selection activeCell="B43" sqref="B43"/>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sheetPr codeName="Sheet21">
    <tabColor rgb="FFFFFF00"/>
  </sheetPr>
  <dimension ref="B1:IAH114"/>
  <sheetViews>
    <sheetView showGridLines="0" zoomScale="55" zoomScaleNormal="55" workbookViewId="0">
      <pane xSplit="6" topLeftCell="G1" activePane="topRight" state="frozen"/>
      <selection activeCell="C1" sqref="C1"/>
      <selection pane="topRight" activeCell="H47" sqref="H47"/>
    </sheetView>
  </sheetViews>
  <sheetFormatPr defaultColWidth="9.140625" defaultRowHeight="15" outlineLevelCol="1"/>
  <cols>
    <col min="1" max="1" width="9.140625" style="140"/>
    <col min="2" max="2" width="16" style="89" customWidth="1"/>
    <col min="3" max="3" width="29.5703125" style="140" customWidth="1"/>
    <col min="4" max="4" width="10.5703125" style="140" customWidth="1"/>
    <col min="5" max="5" width="15.7109375" style="140" hidden="1" customWidth="1"/>
    <col min="6" max="6" width="40.42578125" style="140" customWidth="1"/>
    <col min="7" max="7" width="9.42578125" style="277" customWidth="1"/>
    <col min="8" max="8" width="7.5703125" style="140" customWidth="1"/>
    <col min="9" max="9" width="8.42578125" style="140" customWidth="1"/>
    <col min="10" max="10" width="9.85546875" style="140" customWidth="1"/>
    <col min="11" max="11" width="9.85546875" style="140" hidden="1" customWidth="1" outlineLevel="1"/>
    <col min="12" max="12" width="78.28515625" style="140" hidden="1" customWidth="1" outlineLevel="1"/>
    <col min="13" max="15" width="67.5703125" style="140" hidden="1" customWidth="1" outlineLevel="1"/>
    <col min="16" max="16" width="8.42578125" style="140" customWidth="1" collapsed="1"/>
    <col min="17" max="18" width="8.42578125" style="140" customWidth="1"/>
    <col min="19" max="19" width="9.85546875" style="140" customWidth="1"/>
    <col min="20" max="20" width="2.5703125" style="140" hidden="1" customWidth="1" outlineLevel="1"/>
    <col min="21" max="21" width="51.28515625" style="140" hidden="1" customWidth="1" outlineLevel="1"/>
    <col min="22" max="22" width="56.7109375" style="140" hidden="1" customWidth="1" outlineLevel="1"/>
    <col min="23" max="23" width="49.5703125" style="140" hidden="1" customWidth="1" outlineLevel="1"/>
    <col min="24" max="24" width="57.42578125" style="140" hidden="1" customWidth="1" outlineLevel="1"/>
    <col min="25" max="25" width="8.42578125" style="140" customWidth="1" collapsed="1"/>
    <col min="26" max="28" width="9.140625" customWidth="1"/>
    <col min="29" max="29" width="3.5703125" hidden="1" customWidth="1" outlineLevel="1"/>
    <col min="30" max="30" width="51.28515625" style="277" hidden="1" customWidth="1" outlineLevel="1"/>
    <col min="31" max="31" width="56.7109375" style="277" hidden="1" customWidth="1" outlineLevel="1"/>
    <col min="32" max="32" width="49.5703125" style="277" hidden="1" customWidth="1" outlineLevel="1"/>
    <col min="33" max="33" width="57.42578125" style="277" hidden="1" customWidth="1" outlineLevel="1"/>
    <col min="34" max="34" width="8.7109375" style="277" customWidth="1" collapsed="1"/>
    <col min="35" max="35" width="8.42578125" style="277" customWidth="1" collapsed="1"/>
    <col min="36" max="36" width="10" style="277" customWidth="1"/>
    <col min="37" max="37" width="10.7109375" style="277" customWidth="1"/>
    <col min="38" max="38" width="6.7109375" style="277" hidden="1" customWidth="1" outlineLevel="1"/>
    <col min="39" max="39" width="51.28515625" style="277" hidden="1" customWidth="1" outlineLevel="1"/>
    <col min="40" max="40" width="56.7109375" style="277" hidden="1" customWidth="1" outlineLevel="1"/>
    <col min="41" max="41" width="49.5703125" style="277" hidden="1" customWidth="1" outlineLevel="1"/>
    <col min="42" max="42" width="57.42578125" style="277" hidden="1" customWidth="1" outlineLevel="1"/>
    <col min="43" max="43" width="8.42578125" style="277" customWidth="1" collapsed="1"/>
    <col min="44" max="45" width="8.42578125" style="277" customWidth="1"/>
    <col min="46" max="46" width="9.85546875" style="277" customWidth="1"/>
    <col min="47" max="47" width="10.42578125" style="277" hidden="1" customWidth="1" outlineLevel="1"/>
    <col min="48" max="48" width="45.42578125" style="277" hidden="1" customWidth="1" outlineLevel="1"/>
    <col min="49" max="49" width="56.42578125" style="277" hidden="1" customWidth="1" outlineLevel="1"/>
    <col min="50" max="51" width="56.42578125" style="140" hidden="1" customWidth="1" outlineLevel="1"/>
    <col min="52" max="52" width="9.140625" style="140" collapsed="1"/>
    <col min="53" max="16384" width="9.140625" style="140"/>
  </cols>
  <sheetData>
    <row r="1" spans="2:6118">
      <c r="H1" s="277"/>
      <c r="I1" s="277"/>
      <c r="J1" s="277"/>
      <c r="K1" s="277"/>
      <c r="L1" s="277"/>
      <c r="M1" s="277"/>
      <c r="N1" s="277"/>
      <c r="O1" s="277"/>
      <c r="P1" s="277"/>
      <c r="Q1" s="277"/>
      <c r="R1" s="277"/>
      <c r="S1" s="277"/>
      <c r="T1" s="277"/>
      <c r="U1" s="277"/>
      <c r="V1" s="277"/>
      <c r="W1" s="277"/>
      <c r="X1" s="277"/>
      <c r="Y1" s="277"/>
      <c r="Z1" s="255"/>
      <c r="AA1" s="255"/>
      <c r="AB1" s="255"/>
      <c r="AC1" s="255"/>
    </row>
    <row r="2" spans="2:6118">
      <c r="B2" s="89" t="s">
        <v>0</v>
      </c>
      <c r="C2" s="155" t="str">
        <f ca="1">MID(CELL("filename",A1),FIND("]",CELL("filename",A1))+1,256)</f>
        <v>Independent Cost Inputs</v>
      </c>
      <c r="H2" s="277"/>
      <c r="I2" s="277"/>
      <c r="J2" s="277"/>
      <c r="K2" s="277"/>
      <c r="L2" s="277"/>
      <c r="M2" s="277"/>
      <c r="N2" s="277"/>
      <c r="O2" s="277"/>
      <c r="P2" s="277"/>
      <c r="Q2" s="277"/>
      <c r="R2" s="277"/>
      <c r="S2" s="277"/>
      <c r="T2" s="277"/>
      <c r="U2" s="277"/>
      <c r="V2" s="277"/>
      <c r="W2" s="277"/>
      <c r="X2" s="277"/>
      <c r="Y2" s="277"/>
      <c r="Z2" s="255"/>
      <c r="AA2" s="255"/>
      <c r="AB2" s="255"/>
      <c r="AC2" s="255"/>
    </row>
    <row r="3" spans="2:6118">
      <c r="B3" s="89" t="s">
        <v>1</v>
      </c>
      <c r="C3" s="140" t="s">
        <v>641</v>
      </c>
      <c r="H3" s="277"/>
      <c r="I3" s="277"/>
      <c r="J3" s="277"/>
      <c r="K3" s="277"/>
      <c r="L3" s="277"/>
      <c r="M3" s="277"/>
      <c r="N3" s="277"/>
      <c r="O3" s="277"/>
      <c r="P3" s="277"/>
      <c r="Q3" s="277"/>
      <c r="R3" s="277"/>
      <c r="S3" s="277"/>
      <c r="T3" s="277"/>
      <c r="U3" s="277"/>
      <c r="V3" s="277"/>
      <c r="W3" s="277"/>
      <c r="X3" s="277"/>
      <c r="Y3" s="277"/>
      <c r="Z3" s="255"/>
      <c r="AA3" s="255"/>
      <c r="AB3" s="255"/>
      <c r="AC3" s="255"/>
    </row>
    <row r="4" spans="2:6118">
      <c r="B4" s="277" t="s">
        <v>640</v>
      </c>
      <c r="C4" s="415" t="s">
        <v>639</v>
      </c>
      <c r="H4" s="257" t="s">
        <v>15</v>
      </c>
      <c r="I4" s="257" t="s">
        <v>15</v>
      </c>
      <c r="J4" s="257" t="s">
        <v>15</v>
      </c>
      <c r="K4" s="257"/>
      <c r="L4" s="257" t="s">
        <v>15</v>
      </c>
      <c r="M4" s="257" t="s">
        <v>15</v>
      </c>
      <c r="N4" s="257" t="s">
        <v>15</v>
      </c>
      <c r="O4" s="257" t="s">
        <v>15</v>
      </c>
      <c r="P4" s="257"/>
      <c r="Q4" s="257" t="s">
        <v>647</v>
      </c>
      <c r="R4" s="257" t="s">
        <v>647</v>
      </c>
      <c r="S4" s="257" t="s">
        <v>647</v>
      </c>
      <c r="T4" s="257"/>
      <c r="U4" s="257"/>
      <c r="V4" s="257"/>
      <c r="W4" s="257"/>
      <c r="X4" s="257"/>
      <c r="Y4" s="257"/>
      <c r="Z4" s="257" t="s">
        <v>509</v>
      </c>
      <c r="AA4" s="257" t="s">
        <v>648</v>
      </c>
      <c r="AB4" s="257" t="s">
        <v>648</v>
      </c>
      <c r="AC4" s="255"/>
      <c r="AD4" s="257"/>
      <c r="AE4" s="257"/>
      <c r="AF4" s="257"/>
      <c r="AG4" s="257"/>
      <c r="AH4" s="257"/>
      <c r="AI4" s="257" t="s">
        <v>650</v>
      </c>
      <c r="AJ4" s="257" t="s">
        <v>650</v>
      </c>
      <c r="AK4" s="257" t="s">
        <v>650</v>
      </c>
      <c r="AL4" s="257"/>
      <c r="AM4" s="257"/>
      <c r="AN4" s="257"/>
      <c r="AO4" s="257"/>
      <c r="AP4" s="257"/>
      <c r="AQ4" s="257"/>
      <c r="AR4" s="257" t="s">
        <v>17</v>
      </c>
      <c r="AS4" s="257" t="s">
        <v>17</v>
      </c>
      <c r="AT4" s="257" t="s">
        <v>17</v>
      </c>
    </row>
    <row r="5" spans="2:6118" s="156" customFormat="1" ht="12.75">
      <c r="B5" s="90" t="s">
        <v>126</v>
      </c>
      <c r="C5" s="156" t="s">
        <v>19</v>
      </c>
      <c r="D5" s="156" t="s">
        <v>20</v>
      </c>
      <c r="E5" s="156" t="s">
        <v>139</v>
      </c>
      <c r="F5" s="156" t="s">
        <v>12</v>
      </c>
      <c r="G5" s="259"/>
      <c r="H5" s="259" t="s">
        <v>228</v>
      </c>
      <c r="I5" s="259" t="s">
        <v>229</v>
      </c>
      <c r="J5" s="259" t="s">
        <v>230</v>
      </c>
      <c r="K5" s="259"/>
      <c r="L5" s="259" t="s">
        <v>143</v>
      </c>
      <c r="M5" s="259" t="s">
        <v>231</v>
      </c>
      <c r="N5" s="259" t="s">
        <v>232</v>
      </c>
      <c r="O5" s="259" t="s">
        <v>233</v>
      </c>
      <c r="P5" s="259"/>
      <c r="Q5" s="259" t="s">
        <v>228</v>
      </c>
      <c r="R5" s="259" t="s">
        <v>229</v>
      </c>
      <c r="S5" s="259" t="s">
        <v>230</v>
      </c>
      <c r="T5" s="259"/>
      <c r="U5" s="259" t="s">
        <v>146</v>
      </c>
      <c r="V5" s="259" t="s">
        <v>231</v>
      </c>
      <c r="W5" s="259" t="s">
        <v>232</v>
      </c>
      <c r="X5" s="259" t="s">
        <v>233</v>
      </c>
      <c r="Y5" s="259"/>
      <c r="Z5" s="259" t="s">
        <v>228</v>
      </c>
      <c r="AA5" s="259" t="s">
        <v>229</v>
      </c>
      <c r="AB5" s="259" t="s">
        <v>230</v>
      </c>
      <c r="AC5" s="259"/>
      <c r="AD5" s="259" t="s">
        <v>146</v>
      </c>
      <c r="AE5" s="259" t="s">
        <v>231</v>
      </c>
      <c r="AF5" s="259" t="s">
        <v>232</v>
      </c>
      <c r="AG5" s="259" t="s">
        <v>233</v>
      </c>
      <c r="AH5" s="259"/>
      <c r="AI5" s="259" t="s">
        <v>228</v>
      </c>
      <c r="AJ5" s="259" t="s">
        <v>229</v>
      </c>
      <c r="AK5" s="259" t="s">
        <v>230</v>
      </c>
      <c r="AL5" s="259"/>
      <c r="AM5" s="259" t="s">
        <v>146</v>
      </c>
      <c r="AN5" s="259" t="s">
        <v>231</v>
      </c>
      <c r="AO5" s="259" t="s">
        <v>232</v>
      </c>
      <c r="AP5" s="259" t="s">
        <v>233</v>
      </c>
      <c r="AQ5" s="259"/>
      <c r="AR5" s="259" t="s">
        <v>228</v>
      </c>
      <c r="AS5" s="259" t="s">
        <v>229</v>
      </c>
      <c r="AT5" s="259" t="s">
        <v>230</v>
      </c>
      <c r="AU5" s="259"/>
      <c r="AV5" s="259" t="s">
        <v>146</v>
      </c>
      <c r="AW5" s="259" t="s">
        <v>231</v>
      </c>
      <c r="AX5" s="156" t="s">
        <v>232</v>
      </c>
      <c r="AY5" s="156" t="s">
        <v>233</v>
      </c>
    </row>
    <row r="6" spans="2:6118">
      <c r="H6" s="158"/>
      <c r="I6" s="158"/>
      <c r="J6" s="158"/>
      <c r="K6" s="158"/>
      <c r="L6" s="158"/>
      <c r="M6" s="158"/>
      <c r="N6" s="158"/>
      <c r="O6" s="158"/>
      <c r="P6" s="158"/>
      <c r="Q6" s="158"/>
      <c r="R6" s="158"/>
      <c r="S6" s="158"/>
      <c r="T6" s="158"/>
      <c r="U6" s="158"/>
      <c r="V6" s="158"/>
      <c r="W6" s="158"/>
      <c r="X6" s="158"/>
      <c r="Y6" s="158"/>
      <c r="Z6" s="255"/>
      <c r="AA6" s="255"/>
      <c r="AB6" s="255"/>
      <c r="AC6" s="255"/>
      <c r="AD6" s="158"/>
      <c r="AE6" s="158"/>
      <c r="AF6" s="158"/>
      <c r="AG6" s="158"/>
      <c r="AH6" s="158"/>
      <c r="AI6" s="158"/>
      <c r="AJ6" s="158"/>
      <c r="AK6" s="158"/>
      <c r="AL6" s="158"/>
      <c r="AM6" s="158"/>
      <c r="AN6" s="158"/>
      <c r="AO6" s="158"/>
      <c r="AP6" s="158"/>
      <c r="AQ6" s="158"/>
      <c r="AR6" s="158"/>
      <c r="AS6" s="158"/>
      <c r="AT6" s="158"/>
      <c r="AU6" s="158"/>
      <c r="AV6" s="158"/>
      <c r="AW6" s="158"/>
      <c r="AX6" s="158"/>
      <c r="AY6" s="158"/>
      <c r="AZ6" s="158"/>
    </row>
    <row r="7" spans="2:6118">
      <c r="B7" s="91"/>
      <c r="F7" s="189"/>
      <c r="G7" s="189"/>
      <c r="H7" s="277"/>
      <c r="I7" s="277"/>
      <c r="J7" s="277"/>
      <c r="K7" s="277"/>
      <c r="L7" s="277"/>
      <c r="M7" s="277"/>
      <c r="N7" s="277"/>
      <c r="O7" s="277"/>
      <c r="P7" s="277"/>
      <c r="Q7" s="277"/>
      <c r="R7" s="277"/>
      <c r="S7" s="277"/>
      <c r="T7" s="277"/>
      <c r="U7" s="277"/>
      <c r="V7" s="277"/>
      <c r="W7" s="277"/>
      <c r="X7" s="277"/>
      <c r="Y7" s="277"/>
      <c r="Z7" s="255"/>
      <c r="AA7" s="255"/>
      <c r="AB7" s="255"/>
      <c r="AC7" s="255"/>
    </row>
    <row r="8" spans="2:6118" ht="15" customHeight="1">
      <c r="B8" s="89" t="s">
        <v>37</v>
      </c>
      <c r="C8" s="32" t="s">
        <v>71</v>
      </c>
      <c r="D8" s="32" t="s">
        <v>61</v>
      </c>
      <c r="E8" s="32" t="s">
        <v>57</v>
      </c>
      <c r="F8" s="103" t="s">
        <v>249</v>
      </c>
      <c r="G8" s="103"/>
      <c r="H8" s="78">
        <v>5</v>
      </c>
      <c r="I8" s="78">
        <v>100</v>
      </c>
      <c r="J8" s="78">
        <v>350</v>
      </c>
      <c r="K8" s="103"/>
      <c r="L8" s="463" t="s">
        <v>142</v>
      </c>
      <c r="M8" s="110" t="s">
        <v>186</v>
      </c>
      <c r="N8" s="110" t="s">
        <v>187</v>
      </c>
      <c r="O8" s="110" t="s">
        <v>188</v>
      </c>
      <c r="P8" s="103"/>
      <c r="Q8" s="78">
        <v>5</v>
      </c>
      <c r="R8" s="78">
        <v>100</v>
      </c>
      <c r="S8" s="78">
        <v>350</v>
      </c>
      <c r="T8" s="277"/>
      <c r="U8" s="463" t="s">
        <v>145</v>
      </c>
      <c r="V8" s="108" t="s">
        <v>202</v>
      </c>
      <c r="W8" s="108" t="s">
        <v>202</v>
      </c>
      <c r="X8" s="108" t="s">
        <v>202</v>
      </c>
      <c r="Y8" s="277"/>
      <c r="Z8" s="78">
        <v>5</v>
      </c>
      <c r="AA8" s="78">
        <v>100</v>
      </c>
      <c r="AB8" s="78">
        <v>350</v>
      </c>
      <c r="AC8" s="255"/>
      <c r="AD8" s="463" t="s">
        <v>145</v>
      </c>
      <c r="AE8" s="108" t="s">
        <v>202</v>
      </c>
      <c r="AF8" s="108" t="s">
        <v>202</v>
      </c>
      <c r="AG8" s="108" t="s">
        <v>202</v>
      </c>
      <c r="AH8" s="103"/>
      <c r="AI8" s="78">
        <v>5</v>
      </c>
      <c r="AJ8" s="78">
        <v>100</v>
      </c>
      <c r="AK8" s="78">
        <v>350</v>
      </c>
      <c r="AL8" s="103"/>
      <c r="AM8" s="463" t="s">
        <v>680</v>
      </c>
      <c r="AN8" s="108" t="s">
        <v>202</v>
      </c>
      <c r="AO8" s="108" t="s">
        <v>202</v>
      </c>
      <c r="AP8" s="108" t="s">
        <v>202</v>
      </c>
      <c r="AQ8" s="103"/>
      <c r="AR8" s="192">
        <v>0</v>
      </c>
      <c r="AS8" s="192">
        <v>0</v>
      </c>
      <c r="AT8" s="192">
        <v>0</v>
      </c>
      <c r="AV8" s="463" t="s">
        <v>206</v>
      </c>
      <c r="AW8" s="463" t="s">
        <v>194</v>
      </c>
      <c r="AX8" s="463" t="s">
        <v>194</v>
      </c>
      <c r="AY8" s="463" t="s">
        <v>194</v>
      </c>
      <c r="AZ8" s="162"/>
      <c r="BB8" s="277"/>
      <c r="BC8" s="277"/>
      <c r="BD8" s="277"/>
      <c r="BE8" s="277"/>
      <c r="BF8" s="277"/>
      <c r="BG8" s="277"/>
      <c r="BH8" s="277"/>
      <c r="BI8" s="277"/>
      <c r="BJ8" s="277"/>
      <c r="BK8" s="277"/>
      <c r="BL8" s="277"/>
      <c r="BM8" s="277"/>
      <c r="BN8" s="277"/>
      <c r="BO8" s="277"/>
      <c r="BP8" s="277"/>
      <c r="BQ8" s="277"/>
      <c r="BR8" s="277"/>
      <c r="BS8" s="277"/>
      <c r="BT8" s="277"/>
      <c r="BU8" s="277"/>
      <c r="BV8" s="277"/>
      <c r="BW8" s="277"/>
      <c r="BX8" s="277"/>
      <c r="BY8" s="277"/>
      <c r="BZ8" s="277"/>
      <c r="CA8" s="277"/>
      <c r="CB8" s="277"/>
      <c r="CC8" s="277"/>
      <c r="CD8" s="277"/>
      <c r="CE8" s="277"/>
      <c r="CF8" s="277"/>
      <c r="CG8" s="277"/>
      <c r="CH8" s="277"/>
      <c r="CI8" s="277"/>
      <c r="CJ8" s="277"/>
      <c r="CK8" s="277"/>
      <c r="CL8" s="277"/>
      <c r="CM8" s="277"/>
      <c r="CN8" s="277"/>
      <c r="CO8" s="277"/>
      <c r="CP8" s="277"/>
      <c r="CQ8" s="277"/>
      <c r="CR8" s="277"/>
      <c r="CS8" s="277"/>
      <c r="CT8" s="277"/>
      <c r="CU8" s="277"/>
      <c r="CV8" s="277"/>
      <c r="CW8" s="277"/>
      <c r="CX8" s="277"/>
      <c r="CY8" s="277"/>
      <c r="CZ8" s="277"/>
      <c r="DA8" s="277"/>
      <c r="DB8" s="277"/>
      <c r="DC8" s="277"/>
      <c r="DD8" s="277"/>
      <c r="DE8" s="277"/>
      <c r="DF8" s="277"/>
      <c r="DG8" s="277"/>
      <c r="DH8" s="277"/>
      <c r="DI8" s="277"/>
      <c r="DJ8" s="277"/>
      <c r="DK8" s="277"/>
    </row>
    <row r="9" spans="2:6118">
      <c r="B9" s="89" t="s">
        <v>37</v>
      </c>
      <c r="C9" s="32" t="s">
        <v>71</v>
      </c>
      <c r="D9" s="32" t="s">
        <v>56</v>
      </c>
      <c r="E9" s="32" t="s">
        <v>57</v>
      </c>
      <c r="F9" s="103" t="s">
        <v>384</v>
      </c>
      <c r="G9" s="103"/>
      <c r="H9" s="78">
        <v>1</v>
      </c>
      <c r="I9" s="78">
        <v>1</v>
      </c>
      <c r="J9" s="78">
        <v>1</v>
      </c>
      <c r="K9" s="103"/>
      <c r="L9" s="464"/>
      <c r="M9" s="110" t="s">
        <v>189</v>
      </c>
      <c r="N9" s="110" t="s">
        <v>193</v>
      </c>
      <c r="O9" s="110" t="s">
        <v>193</v>
      </c>
      <c r="P9" s="103"/>
      <c r="Q9" s="78">
        <v>1</v>
      </c>
      <c r="R9" s="78">
        <v>1</v>
      </c>
      <c r="S9" s="78">
        <v>1</v>
      </c>
      <c r="T9" s="277"/>
      <c r="U9" s="464"/>
      <c r="V9" s="108" t="s">
        <v>202</v>
      </c>
      <c r="W9" s="108" t="s">
        <v>202</v>
      </c>
      <c r="X9" s="108" t="s">
        <v>202</v>
      </c>
      <c r="Y9" s="277"/>
      <c r="Z9" s="78">
        <v>1</v>
      </c>
      <c r="AA9" s="78">
        <v>1</v>
      </c>
      <c r="AB9" s="78">
        <v>1</v>
      </c>
      <c r="AC9" s="255"/>
      <c r="AD9" s="464"/>
      <c r="AE9" s="108" t="s">
        <v>202</v>
      </c>
      <c r="AF9" s="108" t="s">
        <v>202</v>
      </c>
      <c r="AG9" s="108" t="s">
        <v>202</v>
      </c>
      <c r="AH9" s="103"/>
      <c r="AI9" s="78">
        <v>1</v>
      </c>
      <c r="AJ9" s="78">
        <v>1</v>
      </c>
      <c r="AK9" s="78">
        <v>1</v>
      </c>
      <c r="AL9" s="103"/>
      <c r="AM9" s="464"/>
      <c r="AN9" s="108" t="s">
        <v>202</v>
      </c>
      <c r="AO9" s="108" t="s">
        <v>202</v>
      </c>
      <c r="AP9" s="108" t="s">
        <v>202</v>
      </c>
      <c r="AQ9" s="103"/>
      <c r="AR9" s="192">
        <v>0</v>
      </c>
      <c r="AS9" s="192">
        <v>0</v>
      </c>
      <c r="AT9" s="192">
        <v>0</v>
      </c>
      <c r="AV9" s="464"/>
      <c r="AW9" s="464"/>
      <c r="AX9" s="464"/>
      <c r="AY9" s="464"/>
      <c r="AZ9" s="162"/>
      <c r="BA9" s="277"/>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row>
    <row r="10" spans="2:6118" ht="51">
      <c r="B10" s="89" t="s">
        <v>37</v>
      </c>
      <c r="C10" s="32" t="s">
        <v>71</v>
      </c>
      <c r="D10" s="32" t="s">
        <v>56</v>
      </c>
      <c r="E10" s="32" t="s">
        <v>57</v>
      </c>
      <c r="F10" s="103" t="s">
        <v>385</v>
      </c>
      <c r="G10" s="103"/>
      <c r="H10" s="78">
        <v>0</v>
      </c>
      <c r="I10" s="78">
        <v>15</v>
      </c>
      <c r="J10" s="78">
        <v>15</v>
      </c>
      <c r="K10" s="103"/>
      <c r="L10" s="464"/>
      <c r="M10" s="110" t="s">
        <v>72</v>
      </c>
      <c r="N10" s="108" t="s">
        <v>73</v>
      </c>
      <c r="O10" s="108" t="s">
        <v>74</v>
      </c>
      <c r="P10" s="103"/>
      <c r="Q10" s="78">
        <v>0</v>
      </c>
      <c r="R10" s="78">
        <v>15</v>
      </c>
      <c r="S10" s="78">
        <v>15</v>
      </c>
      <c r="T10" s="277"/>
      <c r="U10" s="464"/>
      <c r="V10" s="108" t="s">
        <v>202</v>
      </c>
      <c r="W10" s="108" t="s">
        <v>202</v>
      </c>
      <c r="X10" s="108" t="s">
        <v>202</v>
      </c>
      <c r="Y10" s="277"/>
      <c r="Z10" s="78">
        <v>0</v>
      </c>
      <c r="AA10" s="78">
        <v>15</v>
      </c>
      <c r="AB10" s="78">
        <v>15</v>
      </c>
      <c r="AC10" s="255"/>
      <c r="AD10" s="464"/>
      <c r="AE10" s="108" t="s">
        <v>202</v>
      </c>
      <c r="AF10" s="108" t="s">
        <v>202</v>
      </c>
      <c r="AG10" s="108" t="s">
        <v>202</v>
      </c>
      <c r="AH10" s="103"/>
      <c r="AI10" s="78">
        <v>0</v>
      </c>
      <c r="AJ10" s="78">
        <v>15</v>
      </c>
      <c r="AK10" s="78">
        <v>15</v>
      </c>
      <c r="AL10" s="103"/>
      <c r="AM10" s="464"/>
      <c r="AN10" s="108" t="s">
        <v>202</v>
      </c>
      <c r="AO10" s="108" t="s">
        <v>202</v>
      </c>
      <c r="AP10" s="108" t="s">
        <v>202</v>
      </c>
      <c r="AQ10" s="103"/>
      <c r="AR10" s="192">
        <v>0</v>
      </c>
      <c r="AS10" s="192">
        <v>0</v>
      </c>
      <c r="AT10" s="192">
        <v>0</v>
      </c>
      <c r="AV10" s="464"/>
      <c r="AW10" s="464"/>
      <c r="AX10" s="464"/>
      <c r="AY10" s="464"/>
      <c r="AZ10" s="162"/>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7"/>
      <c r="BZ10" s="277"/>
      <c r="CA10" s="277"/>
      <c r="CB10" s="277"/>
      <c r="CC10" s="277"/>
      <c r="CD10" s="277"/>
      <c r="CE10" s="277"/>
      <c r="CF10" s="277"/>
      <c r="CG10" s="277"/>
      <c r="CH10" s="277"/>
      <c r="CI10" s="277"/>
      <c r="CJ10" s="277"/>
      <c r="CK10" s="277"/>
      <c r="CL10" s="277"/>
      <c r="CM10" s="277"/>
      <c r="CN10" s="277"/>
      <c r="CO10" s="277"/>
      <c r="CP10" s="277"/>
      <c r="CQ10" s="277"/>
      <c r="CR10" s="277"/>
      <c r="CS10" s="277"/>
      <c r="CT10" s="277"/>
      <c r="CU10" s="277"/>
      <c r="CV10" s="277"/>
      <c r="CW10" s="277"/>
      <c r="CX10" s="277"/>
      <c r="CY10" s="277"/>
      <c r="CZ10" s="277"/>
      <c r="DA10" s="277"/>
      <c r="DB10" s="277"/>
      <c r="DC10" s="277"/>
      <c r="DD10" s="277"/>
      <c r="DE10" s="277"/>
      <c r="DF10" s="277"/>
      <c r="DG10" s="277"/>
      <c r="DH10" s="277"/>
      <c r="DI10" s="277"/>
      <c r="DJ10" s="277"/>
      <c r="DK10" s="277"/>
    </row>
    <row r="11" spans="2:6118" ht="25.5">
      <c r="B11" s="89" t="s">
        <v>37</v>
      </c>
      <c r="C11" s="32" t="s">
        <v>71</v>
      </c>
      <c r="D11" s="32" t="s">
        <v>58</v>
      </c>
      <c r="E11" s="32" t="s">
        <v>59</v>
      </c>
      <c r="F11" s="104" t="s">
        <v>386</v>
      </c>
      <c r="G11" s="104"/>
      <c r="H11" s="79">
        <f ca="1">OPEXtoCAPEX</f>
        <v>0.2</v>
      </c>
      <c r="I11" s="79">
        <f ca="1">OPEXtoCAPEX</f>
        <v>0.2</v>
      </c>
      <c r="J11" s="79">
        <f ca="1">OPEXtoCAPEX</f>
        <v>0.2</v>
      </c>
      <c r="K11" s="104"/>
      <c r="L11" s="465"/>
      <c r="M11" s="110" t="s">
        <v>190</v>
      </c>
      <c r="N11" s="110" t="s">
        <v>193</v>
      </c>
      <c r="O11" s="110" t="s">
        <v>193</v>
      </c>
      <c r="P11" s="104"/>
      <c r="Q11" s="79">
        <f ca="1">OPEXtoCAPEX</f>
        <v>0.2</v>
      </c>
      <c r="R11" s="79">
        <f ca="1">OPEXtoCAPEX</f>
        <v>0.2</v>
      </c>
      <c r="S11" s="79">
        <f ca="1">OPEXtoCAPEX</f>
        <v>0.2</v>
      </c>
      <c r="T11" s="257"/>
      <c r="U11" s="465"/>
      <c r="V11" s="108" t="s">
        <v>202</v>
      </c>
      <c r="W11" s="108" t="s">
        <v>202</v>
      </c>
      <c r="X11" s="108" t="s">
        <v>202</v>
      </c>
      <c r="Y11" s="257"/>
      <c r="Z11" s="79">
        <f ca="1">OPEXtoCAPEX</f>
        <v>0.2</v>
      </c>
      <c r="AA11" s="79">
        <f ca="1">OPEXtoCAPEX</f>
        <v>0.2</v>
      </c>
      <c r="AB11" s="79">
        <f ca="1">OPEXtoCAPEX</f>
        <v>0.2</v>
      </c>
      <c r="AC11" s="255"/>
      <c r="AD11" s="465"/>
      <c r="AE11" s="108" t="s">
        <v>202</v>
      </c>
      <c r="AF11" s="108" t="s">
        <v>202</v>
      </c>
      <c r="AG11" s="108" t="s">
        <v>202</v>
      </c>
      <c r="AH11" s="103"/>
      <c r="AI11" s="79">
        <f ca="1">OPEXtoCAPEX</f>
        <v>0.2</v>
      </c>
      <c r="AJ11" s="79">
        <f ca="1">OPEXtoCAPEX</f>
        <v>0.2</v>
      </c>
      <c r="AK11" s="79">
        <f ca="1">OPEXtoCAPEX</f>
        <v>0.2</v>
      </c>
      <c r="AL11" s="103"/>
      <c r="AM11" s="465"/>
      <c r="AN11" s="108" t="s">
        <v>202</v>
      </c>
      <c r="AO11" s="108" t="s">
        <v>202</v>
      </c>
      <c r="AP11" s="108" t="s">
        <v>202</v>
      </c>
      <c r="AQ11" s="103"/>
      <c r="AR11" s="192">
        <v>0</v>
      </c>
      <c r="AS11" s="192">
        <v>0</v>
      </c>
      <c r="AT11" s="192">
        <v>0</v>
      </c>
      <c r="AV11" s="465"/>
      <c r="AW11" s="465"/>
      <c r="AX11" s="465"/>
      <c r="AY11" s="465"/>
      <c r="AZ11" s="165"/>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row>
    <row r="12" spans="2:6118" ht="25.5" customHeight="1">
      <c r="B12" s="89" t="s">
        <v>37</v>
      </c>
      <c r="C12" s="32" t="s">
        <v>38</v>
      </c>
      <c r="D12" s="32" t="s">
        <v>61</v>
      </c>
      <c r="E12" s="32" t="s">
        <v>57</v>
      </c>
      <c r="F12" s="103" t="s">
        <v>250</v>
      </c>
      <c r="G12" s="103"/>
      <c r="H12" s="78">
        <v>5</v>
      </c>
      <c r="I12" s="78">
        <v>100</v>
      </c>
      <c r="J12" s="78">
        <v>350</v>
      </c>
      <c r="K12" s="103"/>
      <c r="L12" s="472" t="s">
        <v>75</v>
      </c>
      <c r="M12" s="110" t="s">
        <v>192</v>
      </c>
      <c r="N12" s="110" t="s">
        <v>192</v>
      </c>
      <c r="O12" s="110" t="s">
        <v>192</v>
      </c>
      <c r="P12" s="103"/>
      <c r="Q12" s="78">
        <v>5</v>
      </c>
      <c r="R12" s="78">
        <v>100</v>
      </c>
      <c r="S12" s="78">
        <v>350</v>
      </c>
      <c r="T12" s="257"/>
      <c r="U12" s="472" t="s">
        <v>100</v>
      </c>
      <c r="V12" s="108" t="s">
        <v>202</v>
      </c>
      <c r="W12" s="108" t="s">
        <v>202</v>
      </c>
      <c r="X12" s="108" t="s">
        <v>202</v>
      </c>
      <c r="Y12" s="257"/>
      <c r="Z12" s="78">
        <v>5</v>
      </c>
      <c r="AA12" s="78">
        <v>100</v>
      </c>
      <c r="AB12" s="78">
        <v>350</v>
      </c>
      <c r="AC12" s="255"/>
      <c r="AD12" s="472" t="s">
        <v>100</v>
      </c>
      <c r="AE12" s="108" t="s">
        <v>202</v>
      </c>
      <c r="AF12" s="108" t="s">
        <v>202</v>
      </c>
      <c r="AG12" s="108" t="s">
        <v>202</v>
      </c>
      <c r="AH12" s="103"/>
      <c r="AI12" s="78">
        <v>5</v>
      </c>
      <c r="AJ12" s="78">
        <v>100</v>
      </c>
      <c r="AK12" s="78">
        <v>350</v>
      </c>
      <c r="AL12" s="103"/>
      <c r="AM12" s="466" t="s">
        <v>681</v>
      </c>
      <c r="AN12" s="108" t="s">
        <v>202</v>
      </c>
      <c r="AO12" s="108" t="s">
        <v>202</v>
      </c>
      <c r="AP12" s="108" t="s">
        <v>202</v>
      </c>
      <c r="AQ12" s="103"/>
      <c r="AR12" s="78">
        <v>5</v>
      </c>
      <c r="AS12" s="78">
        <v>100</v>
      </c>
      <c r="AT12" s="78">
        <v>350</v>
      </c>
      <c r="AV12" s="463"/>
      <c r="AW12" s="109"/>
      <c r="AX12" s="109"/>
      <c r="AY12" s="109"/>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277"/>
      <c r="DF12" s="277"/>
      <c r="DG12" s="277"/>
      <c r="DH12" s="277"/>
      <c r="DI12" s="277"/>
      <c r="DJ12" s="277"/>
      <c r="DK12" s="277"/>
    </row>
    <row r="13" spans="2:6118" ht="25.5">
      <c r="B13" s="89" t="s">
        <v>37</v>
      </c>
      <c r="C13" s="32" t="s">
        <v>38</v>
      </c>
      <c r="D13" s="32" t="s">
        <v>56</v>
      </c>
      <c r="E13" s="32" t="s">
        <v>57</v>
      </c>
      <c r="F13" s="103" t="s">
        <v>387</v>
      </c>
      <c r="G13" s="103"/>
      <c r="H13" s="78">
        <v>2</v>
      </c>
      <c r="I13" s="78">
        <v>2</v>
      </c>
      <c r="J13" s="78">
        <v>2</v>
      </c>
      <c r="K13" s="103"/>
      <c r="L13" s="467"/>
      <c r="M13" s="110" t="s">
        <v>191</v>
      </c>
      <c r="N13" s="110" t="s">
        <v>191</v>
      </c>
      <c r="O13" s="110" t="s">
        <v>191</v>
      </c>
      <c r="P13" s="103"/>
      <c r="Q13" s="78">
        <v>2</v>
      </c>
      <c r="R13" s="78">
        <v>2</v>
      </c>
      <c r="S13" s="78">
        <v>2</v>
      </c>
      <c r="T13" s="158"/>
      <c r="U13" s="467"/>
      <c r="V13" s="108" t="s">
        <v>202</v>
      </c>
      <c r="W13" s="108" t="s">
        <v>202</v>
      </c>
      <c r="X13" s="108" t="s">
        <v>202</v>
      </c>
      <c r="Y13" s="158"/>
      <c r="Z13" s="78">
        <v>2</v>
      </c>
      <c r="AA13" s="78">
        <v>2</v>
      </c>
      <c r="AB13" s="78">
        <v>2</v>
      </c>
      <c r="AC13" s="255"/>
      <c r="AD13" s="467"/>
      <c r="AE13" s="108" t="s">
        <v>202</v>
      </c>
      <c r="AF13" s="108" t="s">
        <v>202</v>
      </c>
      <c r="AG13" s="108" t="s">
        <v>202</v>
      </c>
      <c r="AH13" s="103"/>
      <c r="AI13" s="304">
        <v>1</v>
      </c>
      <c r="AJ13" s="304">
        <v>1</v>
      </c>
      <c r="AK13" s="304">
        <v>1</v>
      </c>
      <c r="AL13" s="103"/>
      <c r="AM13" s="467"/>
      <c r="AN13" s="108" t="s">
        <v>202</v>
      </c>
      <c r="AO13" s="108" t="s">
        <v>202</v>
      </c>
      <c r="AP13" s="108" t="s">
        <v>202</v>
      </c>
      <c r="AQ13" s="103"/>
      <c r="AR13" s="78">
        <v>0.5</v>
      </c>
      <c r="AS13" s="78">
        <v>0.5</v>
      </c>
      <c r="AT13" s="78">
        <v>0.5</v>
      </c>
      <c r="AV13" s="464"/>
      <c r="AW13" s="109"/>
      <c r="AX13" s="109"/>
      <c r="AY13" s="109"/>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row>
    <row r="14" spans="2:6118" ht="25.5">
      <c r="B14" s="89" t="s">
        <v>37</v>
      </c>
      <c r="C14" s="32" t="s">
        <v>38</v>
      </c>
      <c r="D14" s="32" t="s">
        <v>56</v>
      </c>
      <c r="E14" s="32" t="s">
        <v>57</v>
      </c>
      <c r="F14" s="103" t="s">
        <v>388</v>
      </c>
      <c r="G14" s="103"/>
      <c r="H14" s="78">
        <v>0</v>
      </c>
      <c r="I14" s="78">
        <v>20</v>
      </c>
      <c r="J14" s="78">
        <v>20</v>
      </c>
      <c r="K14" s="103"/>
      <c r="L14" s="467"/>
      <c r="M14" s="110" t="s">
        <v>192</v>
      </c>
      <c r="N14" s="110" t="s">
        <v>192</v>
      </c>
      <c r="O14" s="110" t="s">
        <v>192</v>
      </c>
      <c r="P14" s="103"/>
      <c r="Q14" s="78">
        <v>0</v>
      </c>
      <c r="R14" s="78">
        <v>20</v>
      </c>
      <c r="S14" s="78">
        <v>20</v>
      </c>
      <c r="T14" s="277"/>
      <c r="U14" s="467"/>
      <c r="V14" s="108" t="s">
        <v>202</v>
      </c>
      <c r="W14" s="108" t="s">
        <v>202</v>
      </c>
      <c r="X14" s="108" t="s">
        <v>202</v>
      </c>
      <c r="Y14" s="277"/>
      <c r="Z14" s="78">
        <v>0</v>
      </c>
      <c r="AA14" s="78">
        <v>20</v>
      </c>
      <c r="AB14" s="78">
        <v>20</v>
      </c>
      <c r="AC14" s="255"/>
      <c r="AD14" s="467"/>
      <c r="AE14" s="108" t="s">
        <v>202</v>
      </c>
      <c r="AF14" s="108" t="s">
        <v>202</v>
      </c>
      <c r="AG14" s="108" t="s">
        <v>202</v>
      </c>
      <c r="AH14" s="103"/>
      <c r="AI14" s="304">
        <v>0</v>
      </c>
      <c r="AJ14" s="304">
        <v>15</v>
      </c>
      <c r="AK14" s="304">
        <v>15</v>
      </c>
      <c r="AL14" s="103"/>
      <c r="AM14" s="467"/>
      <c r="AN14" s="108" t="s">
        <v>202</v>
      </c>
      <c r="AO14" s="108" t="s">
        <v>202</v>
      </c>
      <c r="AP14" s="108" t="s">
        <v>202</v>
      </c>
      <c r="AQ14" s="103"/>
      <c r="AR14" s="78">
        <v>0</v>
      </c>
      <c r="AS14" s="78">
        <v>10</v>
      </c>
      <c r="AT14" s="78">
        <v>10</v>
      </c>
      <c r="AV14" s="464"/>
      <c r="AW14" s="109"/>
      <c r="AX14" s="109"/>
      <c r="AY14" s="109"/>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row>
    <row r="15" spans="2:6118" ht="25.5">
      <c r="B15" s="89" t="s">
        <v>37</v>
      </c>
      <c r="C15" s="32" t="s">
        <v>38</v>
      </c>
      <c r="D15" s="32" t="s">
        <v>58</v>
      </c>
      <c r="E15" s="32" t="s">
        <v>59</v>
      </c>
      <c r="F15" s="104" t="s">
        <v>389</v>
      </c>
      <c r="G15" s="104"/>
      <c r="H15" s="79">
        <f ca="1">OPEXtoCAPEX</f>
        <v>0.2</v>
      </c>
      <c r="I15" s="79">
        <f ca="1">OPEXtoCAPEX</f>
        <v>0.2</v>
      </c>
      <c r="J15" s="79">
        <f ca="1">OPEXtoCAPEX</f>
        <v>0.2</v>
      </c>
      <c r="K15" s="104"/>
      <c r="L15" s="468"/>
      <c r="M15" s="110" t="s">
        <v>192</v>
      </c>
      <c r="N15" s="110" t="s">
        <v>192</v>
      </c>
      <c r="O15" s="110" t="s">
        <v>192</v>
      </c>
      <c r="P15" s="104"/>
      <c r="Q15" s="79">
        <f ca="1">OPEXtoCAPEX</f>
        <v>0.2</v>
      </c>
      <c r="R15" s="79">
        <f ca="1">OPEXtoCAPEX</f>
        <v>0.2</v>
      </c>
      <c r="S15" s="79">
        <f ca="1">OPEXtoCAPEX</f>
        <v>0.2</v>
      </c>
      <c r="T15" s="103"/>
      <c r="U15" s="468"/>
      <c r="V15" s="108" t="s">
        <v>202</v>
      </c>
      <c r="W15" s="108" t="s">
        <v>202</v>
      </c>
      <c r="X15" s="108" t="s">
        <v>202</v>
      </c>
      <c r="Y15" s="103"/>
      <c r="Z15" s="79">
        <f ca="1">OPEXtoCAPEX</f>
        <v>0.2</v>
      </c>
      <c r="AA15" s="79">
        <f ca="1">OPEXtoCAPEX</f>
        <v>0.2</v>
      </c>
      <c r="AB15" s="79">
        <f ca="1">OPEXtoCAPEX</f>
        <v>0.2</v>
      </c>
      <c r="AC15" s="255"/>
      <c r="AD15" s="468"/>
      <c r="AE15" s="108" t="s">
        <v>202</v>
      </c>
      <c r="AF15" s="108" t="s">
        <v>202</v>
      </c>
      <c r="AG15" s="108" t="s">
        <v>202</v>
      </c>
      <c r="AH15" s="103"/>
      <c r="AI15" s="303">
        <f ca="1">OPEXtoCAPEX</f>
        <v>0.2</v>
      </c>
      <c r="AJ15" s="303">
        <f ca="1">OPEXtoCAPEX</f>
        <v>0.2</v>
      </c>
      <c r="AK15" s="303">
        <f ca="1">OPEXtoCAPEX</f>
        <v>0.2</v>
      </c>
      <c r="AL15" s="103"/>
      <c r="AM15" s="468"/>
      <c r="AN15" s="108" t="s">
        <v>202</v>
      </c>
      <c r="AO15" s="108" t="s">
        <v>202</v>
      </c>
      <c r="AP15" s="108" t="s">
        <v>202</v>
      </c>
      <c r="AQ15" s="103"/>
      <c r="AR15" s="79">
        <f ca="1">OPEXtoCAPEX</f>
        <v>0.2</v>
      </c>
      <c r="AS15" s="79">
        <f ca="1">OPEXtoCAPEX</f>
        <v>0.2</v>
      </c>
      <c r="AT15" s="79">
        <f ca="1">OPEXtoCAPEX</f>
        <v>0.2</v>
      </c>
      <c r="AV15" s="465"/>
      <c r="AW15" s="109"/>
      <c r="AX15" s="109"/>
      <c r="AY15" s="109"/>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row>
    <row r="16" spans="2:6118" s="277" customFormat="1" ht="102">
      <c r="B16" s="89" t="s">
        <v>37</v>
      </c>
      <c r="C16" s="34" t="s">
        <v>39</v>
      </c>
      <c r="D16" s="32" t="s">
        <v>76</v>
      </c>
      <c r="E16" s="32" t="s">
        <v>59</v>
      </c>
      <c r="F16" s="92" t="s">
        <v>453</v>
      </c>
      <c r="G16" s="92"/>
      <c r="H16" s="346">
        <v>18</v>
      </c>
      <c r="I16" s="346">
        <v>18</v>
      </c>
      <c r="J16" s="346">
        <v>18</v>
      </c>
      <c r="K16" s="337"/>
      <c r="L16" s="338" t="s">
        <v>560</v>
      </c>
      <c r="M16" s="339"/>
      <c r="N16" s="339"/>
      <c r="O16" s="339"/>
      <c r="P16" s="337"/>
      <c r="Q16" s="346">
        <v>20</v>
      </c>
      <c r="R16" s="346">
        <v>20</v>
      </c>
      <c r="S16" s="346">
        <v>20</v>
      </c>
      <c r="T16" s="103"/>
      <c r="U16" s="423" t="s">
        <v>564</v>
      </c>
      <c r="V16" s="108"/>
      <c r="W16" s="108"/>
      <c r="X16" s="108"/>
      <c r="Y16" s="103"/>
      <c r="Z16" s="302">
        <v>14.25</v>
      </c>
      <c r="AA16" s="302">
        <v>14.25</v>
      </c>
      <c r="AB16" s="302">
        <v>14.25</v>
      </c>
      <c r="AD16" s="452" t="s">
        <v>691</v>
      </c>
      <c r="AE16" s="453"/>
      <c r="AF16" s="453"/>
      <c r="AG16" s="453"/>
      <c r="AH16" s="103"/>
      <c r="AI16" s="434">
        <v>12</v>
      </c>
      <c r="AJ16" s="434">
        <v>12</v>
      </c>
      <c r="AK16" s="434">
        <v>12</v>
      </c>
      <c r="AL16" s="103"/>
      <c r="AM16" s="428" t="s">
        <v>661</v>
      </c>
      <c r="AN16" s="108"/>
      <c r="AO16" s="108"/>
      <c r="AP16" s="108"/>
      <c r="AQ16" s="103"/>
      <c r="AR16" s="346">
        <v>12</v>
      </c>
      <c r="AS16" s="346">
        <v>12</v>
      </c>
      <c r="AT16" s="346">
        <v>12</v>
      </c>
      <c r="AU16" s="346">
        <v>12</v>
      </c>
      <c r="AV16" s="346">
        <v>12</v>
      </c>
      <c r="AW16" s="346">
        <v>12</v>
      </c>
      <c r="AX16" s="346">
        <v>12</v>
      </c>
      <c r="AY16" s="346">
        <v>12</v>
      </c>
      <c r="AZ16" s="279"/>
      <c r="DL16" s="279"/>
      <c r="DM16" s="279"/>
      <c r="DN16" s="279"/>
      <c r="DO16" s="279"/>
      <c r="DP16" s="279"/>
      <c r="DQ16" s="279"/>
      <c r="DR16" s="279"/>
      <c r="DS16" s="279"/>
      <c r="DT16" s="279"/>
      <c r="DU16" s="279"/>
      <c r="DV16" s="279"/>
      <c r="DW16" s="279"/>
      <c r="DX16" s="279"/>
      <c r="DY16" s="279"/>
      <c r="DZ16" s="279"/>
      <c r="EA16" s="279"/>
      <c r="EB16" s="279"/>
      <c r="EC16" s="279"/>
      <c r="ED16" s="279"/>
      <c r="EE16" s="279"/>
      <c r="EF16" s="279"/>
      <c r="EG16" s="279"/>
      <c r="EH16" s="279"/>
      <c r="EI16" s="279"/>
      <c r="EJ16" s="279"/>
      <c r="EK16" s="279"/>
      <c r="EL16" s="279"/>
      <c r="EM16" s="279"/>
      <c r="EN16" s="279"/>
      <c r="EO16" s="279"/>
      <c r="EP16" s="279"/>
      <c r="EQ16" s="279"/>
      <c r="ER16" s="279"/>
      <c r="ES16" s="279"/>
      <c r="ET16" s="279"/>
      <c r="EU16" s="279"/>
      <c r="EV16" s="279"/>
      <c r="EW16" s="279"/>
      <c r="EX16" s="279"/>
      <c r="EY16" s="279"/>
      <c r="EZ16" s="279"/>
      <c r="FA16" s="279"/>
      <c r="FB16" s="279"/>
      <c r="FC16" s="279"/>
      <c r="FD16" s="279"/>
      <c r="FE16" s="279"/>
      <c r="FF16" s="279"/>
      <c r="FG16" s="279"/>
      <c r="FH16" s="279"/>
      <c r="FI16" s="279"/>
      <c r="FJ16" s="279"/>
      <c r="FK16" s="279"/>
      <c r="FL16" s="279"/>
      <c r="FM16" s="279"/>
      <c r="FN16" s="279"/>
      <c r="FO16" s="279"/>
      <c r="FP16" s="279"/>
      <c r="FQ16" s="279"/>
      <c r="FR16" s="279"/>
      <c r="FS16" s="279"/>
      <c r="FT16" s="279"/>
      <c r="FU16" s="279"/>
      <c r="FV16" s="279"/>
      <c r="FW16" s="279"/>
      <c r="FX16" s="279"/>
      <c r="FY16" s="279"/>
      <c r="FZ16" s="279"/>
      <c r="GA16" s="279"/>
      <c r="GB16" s="279"/>
      <c r="GC16" s="279"/>
      <c r="GD16" s="279"/>
      <c r="GE16" s="279"/>
      <c r="GF16" s="279"/>
      <c r="GG16" s="279"/>
      <c r="GH16" s="279"/>
      <c r="GI16" s="279"/>
      <c r="GJ16" s="279"/>
      <c r="GK16" s="279"/>
      <c r="GL16" s="279"/>
      <c r="GM16" s="279"/>
      <c r="GN16" s="279"/>
      <c r="GO16" s="279"/>
      <c r="GP16" s="279"/>
      <c r="GQ16" s="279"/>
      <c r="GR16" s="279"/>
      <c r="GS16" s="279"/>
      <c r="GT16" s="279"/>
      <c r="GU16" s="279"/>
      <c r="GV16" s="279"/>
      <c r="GW16" s="279"/>
      <c r="GX16" s="279"/>
      <c r="GY16" s="279"/>
      <c r="GZ16" s="279"/>
      <c r="HA16" s="279"/>
      <c r="HB16" s="279"/>
      <c r="HC16" s="279"/>
      <c r="HD16" s="279"/>
      <c r="HE16" s="279"/>
      <c r="HF16" s="279"/>
      <c r="HG16" s="279"/>
      <c r="HH16" s="279"/>
      <c r="HI16" s="279"/>
      <c r="HJ16" s="279"/>
      <c r="HK16" s="279"/>
      <c r="HL16" s="279"/>
      <c r="HM16" s="279"/>
      <c r="HN16" s="279"/>
      <c r="HO16" s="279"/>
      <c r="HP16" s="279"/>
      <c r="HQ16" s="279"/>
      <c r="HR16" s="279"/>
      <c r="HS16" s="279"/>
      <c r="HT16" s="279"/>
      <c r="HU16" s="279"/>
      <c r="HV16" s="279"/>
      <c r="HW16" s="279"/>
      <c r="HX16" s="279"/>
      <c r="HY16" s="279"/>
      <c r="HZ16" s="279"/>
      <c r="IA16" s="279"/>
      <c r="IB16" s="279"/>
      <c r="IC16" s="279"/>
      <c r="ID16" s="279"/>
      <c r="IE16" s="279"/>
      <c r="IF16" s="279"/>
      <c r="IG16" s="279"/>
      <c r="IH16" s="279"/>
      <c r="II16" s="279"/>
      <c r="IJ16" s="279"/>
      <c r="IK16" s="279"/>
      <c r="IL16" s="279"/>
      <c r="IM16" s="279"/>
      <c r="IN16" s="279"/>
      <c r="IO16" s="279"/>
      <c r="IP16" s="279"/>
      <c r="IQ16" s="279"/>
      <c r="IR16" s="279"/>
      <c r="IS16" s="279"/>
      <c r="IT16" s="279"/>
      <c r="IU16" s="279"/>
      <c r="IV16" s="279"/>
      <c r="IW16" s="279"/>
      <c r="IX16" s="279"/>
      <c r="IY16" s="279"/>
      <c r="IZ16" s="279"/>
      <c r="JA16" s="279"/>
      <c r="JB16" s="279"/>
      <c r="JC16" s="279"/>
      <c r="JD16" s="279"/>
      <c r="JE16" s="279"/>
      <c r="JF16" s="279"/>
      <c r="JG16" s="279"/>
      <c r="JH16" s="279"/>
      <c r="JI16" s="279"/>
      <c r="JJ16" s="279"/>
      <c r="JK16" s="279"/>
      <c r="JL16" s="279"/>
      <c r="JM16" s="279"/>
      <c r="JN16" s="279"/>
      <c r="JO16" s="279"/>
      <c r="JP16" s="279"/>
      <c r="JQ16" s="279"/>
      <c r="JR16" s="279"/>
      <c r="JS16" s="279"/>
      <c r="JT16" s="279"/>
      <c r="JU16" s="279"/>
      <c r="JV16" s="279"/>
      <c r="JW16" s="279"/>
      <c r="JX16" s="279"/>
      <c r="JY16" s="279"/>
      <c r="JZ16" s="279"/>
      <c r="KA16" s="279"/>
      <c r="KB16" s="279"/>
      <c r="KC16" s="279"/>
      <c r="KD16" s="279"/>
      <c r="KE16" s="279"/>
      <c r="KF16" s="279"/>
      <c r="KG16" s="279"/>
      <c r="KH16" s="279"/>
      <c r="KI16" s="279"/>
      <c r="KJ16" s="279"/>
      <c r="KK16" s="279"/>
      <c r="KL16" s="279"/>
      <c r="KM16" s="279"/>
      <c r="KN16" s="279"/>
      <c r="KO16" s="279"/>
      <c r="KP16" s="279"/>
      <c r="KQ16" s="279"/>
      <c r="KR16" s="279"/>
      <c r="KS16" s="279"/>
      <c r="KT16" s="279"/>
      <c r="KU16" s="279"/>
      <c r="KV16" s="279"/>
      <c r="KW16" s="279"/>
      <c r="KX16" s="279"/>
      <c r="KY16" s="279"/>
      <c r="KZ16" s="279"/>
      <c r="LA16" s="279"/>
      <c r="LB16" s="279"/>
      <c r="LC16" s="279"/>
      <c r="LD16" s="279"/>
      <c r="LE16" s="279"/>
      <c r="LF16" s="279"/>
      <c r="LG16" s="279"/>
      <c r="LH16" s="279"/>
      <c r="LI16" s="279"/>
      <c r="LJ16" s="279"/>
      <c r="LK16" s="279"/>
      <c r="LL16" s="279"/>
      <c r="LM16" s="279"/>
      <c r="LN16" s="279"/>
      <c r="LO16" s="279"/>
      <c r="LP16" s="279"/>
      <c r="LQ16" s="279"/>
      <c r="LR16" s="279"/>
      <c r="LS16" s="279"/>
      <c r="LT16" s="279"/>
      <c r="LU16" s="279"/>
      <c r="LV16" s="279"/>
      <c r="LW16" s="279"/>
      <c r="LX16" s="279"/>
      <c r="LY16" s="279"/>
      <c r="LZ16" s="279"/>
      <c r="MA16" s="279"/>
      <c r="MB16" s="279"/>
      <c r="MC16" s="279"/>
      <c r="MD16" s="279"/>
      <c r="ME16" s="279"/>
      <c r="MF16" s="279"/>
      <c r="MG16" s="279"/>
      <c r="MH16" s="279"/>
      <c r="MI16" s="279"/>
      <c r="MJ16" s="279"/>
      <c r="MK16" s="279"/>
      <c r="ML16" s="279"/>
      <c r="MM16" s="279"/>
      <c r="MN16" s="279"/>
      <c r="MO16" s="279"/>
      <c r="MP16" s="279"/>
      <c r="MQ16" s="279"/>
      <c r="MR16" s="279"/>
      <c r="MS16" s="279"/>
      <c r="MT16" s="279"/>
      <c r="MU16" s="279"/>
      <c r="MV16" s="279"/>
      <c r="MW16" s="279"/>
      <c r="MX16" s="279"/>
      <c r="MY16" s="279"/>
      <c r="MZ16" s="279"/>
      <c r="NA16" s="279"/>
      <c r="NB16" s="279"/>
      <c r="NC16" s="279"/>
      <c r="ND16" s="279"/>
      <c r="NE16" s="279"/>
      <c r="NF16" s="279"/>
      <c r="NG16" s="279"/>
      <c r="NH16" s="279"/>
      <c r="NI16" s="279"/>
      <c r="NJ16" s="279"/>
      <c r="NK16" s="279"/>
      <c r="NL16" s="279"/>
      <c r="NM16" s="279"/>
      <c r="NN16" s="279"/>
      <c r="NO16" s="279"/>
      <c r="NP16" s="279"/>
      <c r="NQ16" s="279"/>
      <c r="NR16" s="279"/>
      <c r="NS16" s="279"/>
      <c r="NT16" s="279"/>
      <c r="NU16" s="279"/>
      <c r="NV16" s="279"/>
      <c r="NW16" s="279"/>
      <c r="NX16" s="279"/>
      <c r="NY16" s="279"/>
      <c r="NZ16" s="279"/>
      <c r="OA16" s="279"/>
      <c r="OB16" s="279"/>
      <c r="OC16" s="279"/>
      <c r="OD16" s="279"/>
      <c r="OE16" s="279"/>
      <c r="OF16" s="279"/>
      <c r="OG16" s="279"/>
      <c r="OH16" s="279"/>
      <c r="OI16" s="279"/>
      <c r="OJ16" s="279"/>
      <c r="OK16" s="279"/>
      <c r="OL16" s="279"/>
      <c r="OM16" s="279"/>
      <c r="ON16" s="279"/>
      <c r="OO16" s="279"/>
      <c r="OP16" s="279"/>
      <c r="OQ16" s="279"/>
      <c r="OR16" s="279"/>
      <c r="OS16" s="279"/>
      <c r="OT16" s="279"/>
      <c r="OU16" s="279"/>
      <c r="OV16" s="279"/>
      <c r="OW16" s="279"/>
      <c r="OX16" s="279"/>
      <c r="OY16" s="279"/>
      <c r="OZ16" s="279"/>
      <c r="PA16" s="279"/>
      <c r="PB16" s="279"/>
      <c r="PC16" s="279"/>
      <c r="PD16" s="279"/>
      <c r="PE16" s="279"/>
      <c r="PF16" s="279"/>
      <c r="PG16" s="279"/>
      <c r="PH16" s="279"/>
      <c r="PI16" s="279"/>
      <c r="PJ16" s="279"/>
      <c r="PK16" s="279"/>
      <c r="PL16" s="279"/>
      <c r="PM16" s="279"/>
      <c r="PN16" s="279"/>
      <c r="PO16" s="279"/>
      <c r="PP16" s="279"/>
      <c r="PQ16" s="279"/>
      <c r="PR16" s="279"/>
      <c r="PS16" s="279"/>
      <c r="PT16" s="279"/>
      <c r="PU16" s="279"/>
      <c r="PV16" s="279"/>
      <c r="PW16" s="279"/>
      <c r="PX16" s="279"/>
      <c r="PY16" s="279"/>
      <c r="PZ16" s="279"/>
      <c r="QA16" s="279"/>
      <c r="QB16" s="279"/>
      <c r="QC16" s="279"/>
      <c r="QD16" s="279"/>
      <c r="QE16" s="279"/>
      <c r="QF16" s="279"/>
      <c r="QG16" s="279"/>
      <c r="QH16" s="279"/>
      <c r="QI16" s="279"/>
      <c r="QJ16" s="279"/>
      <c r="QK16" s="279"/>
      <c r="QL16" s="279"/>
      <c r="QM16" s="279"/>
      <c r="QN16" s="279"/>
      <c r="QO16" s="279"/>
      <c r="QP16" s="279"/>
      <c r="QQ16" s="279"/>
      <c r="QR16" s="279"/>
      <c r="QS16" s="279"/>
      <c r="QT16" s="279"/>
      <c r="QU16" s="279"/>
      <c r="QV16" s="279"/>
      <c r="QW16" s="279"/>
      <c r="QX16" s="279"/>
      <c r="QY16" s="279"/>
      <c r="QZ16" s="279"/>
      <c r="RA16" s="279"/>
      <c r="RB16" s="279"/>
      <c r="RC16" s="279"/>
      <c r="RD16" s="279"/>
      <c r="RE16" s="279"/>
      <c r="RF16" s="279"/>
      <c r="RG16" s="279"/>
      <c r="RH16" s="279"/>
      <c r="RI16" s="279"/>
      <c r="RJ16" s="279"/>
      <c r="RK16" s="279"/>
      <c r="RL16" s="279"/>
      <c r="RM16" s="279"/>
      <c r="RN16" s="279"/>
      <c r="RO16" s="279"/>
      <c r="RP16" s="279"/>
      <c r="RQ16" s="279"/>
      <c r="RR16" s="279"/>
      <c r="RS16" s="279"/>
      <c r="RT16" s="279"/>
      <c r="RU16" s="279"/>
      <c r="RV16" s="279"/>
      <c r="RW16" s="279"/>
      <c r="RX16" s="279"/>
      <c r="RY16" s="279"/>
      <c r="RZ16" s="279"/>
      <c r="SA16" s="279"/>
      <c r="SB16" s="279"/>
      <c r="SC16" s="279"/>
      <c r="SD16" s="279"/>
      <c r="SE16" s="279"/>
      <c r="SF16" s="279"/>
      <c r="SG16" s="279"/>
      <c r="SH16" s="279"/>
      <c r="SI16" s="279"/>
      <c r="SJ16" s="279"/>
      <c r="SK16" s="279"/>
      <c r="SL16" s="279"/>
      <c r="SM16" s="279"/>
      <c r="SN16" s="279"/>
      <c r="SO16" s="279"/>
      <c r="SP16" s="279"/>
      <c r="SQ16" s="279"/>
      <c r="SR16" s="279"/>
      <c r="SS16" s="279"/>
      <c r="ST16" s="279"/>
      <c r="SU16" s="279"/>
      <c r="SV16" s="279"/>
      <c r="SW16" s="279"/>
      <c r="SX16" s="279"/>
      <c r="SY16" s="279"/>
      <c r="SZ16" s="279"/>
      <c r="TA16" s="279"/>
      <c r="TB16" s="279"/>
      <c r="TC16" s="279"/>
      <c r="TD16" s="279"/>
      <c r="TE16" s="279"/>
      <c r="TF16" s="279"/>
      <c r="TG16" s="279"/>
      <c r="TH16" s="279"/>
      <c r="TI16" s="279"/>
      <c r="TJ16" s="279"/>
      <c r="TK16" s="279"/>
      <c r="TL16" s="279"/>
      <c r="TM16" s="279"/>
      <c r="TN16" s="279"/>
      <c r="TO16" s="279"/>
      <c r="TP16" s="279"/>
      <c r="TQ16" s="279"/>
      <c r="TR16" s="279"/>
      <c r="TS16" s="279"/>
      <c r="TT16" s="279"/>
      <c r="TU16" s="279"/>
      <c r="TV16" s="279"/>
      <c r="TW16" s="279"/>
      <c r="TX16" s="279"/>
      <c r="TY16" s="279"/>
      <c r="TZ16" s="279"/>
      <c r="UA16" s="279"/>
      <c r="UB16" s="279"/>
      <c r="UC16" s="279"/>
      <c r="UD16" s="279"/>
      <c r="UE16" s="279"/>
      <c r="UF16" s="279"/>
      <c r="UG16" s="279"/>
      <c r="UH16" s="279"/>
      <c r="UI16" s="279"/>
      <c r="UJ16" s="279"/>
      <c r="UK16" s="279"/>
      <c r="UL16" s="279"/>
      <c r="UM16" s="279"/>
      <c r="UN16" s="279"/>
      <c r="UO16" s="279"/>
      <c r="UP16" s="279"/>
      <c r="UQ16" s="279"/>
      <c r="UR16" s="279"/>
      <c r="US16" s="279"/>
      <c r="UT16" s="279"/>
      <c r="UU16" s="279"/>
      <c r="UV16" s="279"/>
      <c r="UW16" s="279"/>
      <c r="UX16" s="279"/>
      <c r="UY16" s="279"/>
      <c r="UZ16" s="279"/>
      <c r="VA16" s="279"/>
      <c r="VB16" s="279"/>
      <c r="VC16" s="279"/>
      <c r="VD16" s="279"/>
      <c r="VE16" s="279"/>
      <c r="VF16" s="279"/>
      <c r="VG16" s="279"/>
      <c r="VH16" s="279"/>
      <c r="VI16" s="279"/>
      <c r="VJ16" s="279"/>
      <c r="VK16" s="279"/>
      <c r="VL16" s="279"/>
      <c r="VM16" s="279"/>
      <c r="VN16" s="279"/>
      <c r="VO16" s="279"/>
      <c r="VP16" s="279"/>
      <c r="VQ16" s="279"/>
      <c r="VR16" s="279"/>
      <c r="VS16" s="279"/>
      <c r="VT16" s="279"/>
      <c r="VU16" s="279"/>
      <c r="VV16" s="279"/>
      <c r="VW16" s="279"/>
      <c r="VX16" s="279"/>
      <c r="VY16" s="279"/>
      <c r="VZ16" s="279"/>
      <c r="WA16" s="279"/>
      <c r="WB16" s="279"/>
      <c r="WC16" s="279"/>
      <c r="WD16" s="279"/>
      <c r="WE16" s="279"/>
      <c r="WF16" s="279"/>
      <c r="WG16" s="279"/>
      <c r="WH16" s="279"/>
      <c r="WI16" s="279"/>
      <c r="WJ16" s="279"/>
      <c r="WK16" s="279"/>
      <c r="WL16" s="279"/>
      <c r="WM16" s="279"/>
      <c r="WN16" s="279"/>
      <c r="WO16" s="279"/>
      <c r="WP16" s="279"/>
      <c r="WQ16" s="279"/>
      <c r="WR16" s="279"/>
      <c r="WS16" s="279"/>
      <c r="WT16" s="279"/>
      <c r="WU16" s="279"/>
      <c r="WV16" s="279"/>
      <c r="WW16" s="279"/>
      <c r="WX16" s="279"/>
      <c r="WY16" s="279"/>
      <c r="WZ16" s="279"/>
      <c r="XA16" s="279"/>
      <c r="XB16" s="279"/>
      <c r="XC16" s="279"/>
      <c r="XD16" s="279"/>
      <c r="XE16" s="279"/>
      <c r="XF16" s="279"/>
      <c r="XG16" s="279"/>
      <c r="XH16" s="279"/>
      <c r="XI16" s="279"/>
      <c r="XJ16" s="279"/>
      <c r="XK16" s="279"/>
      <c r="XL16" s="279"/>
      <c r="XM16" s="279"/>
      <c r="XN16" s="279"/>
      <c r="XO16" s="279"/>
      <c r="XP16" s="279"/>
      <c r="XQ16" s="279"/>
      <c r="XR16" s="279"/>
      <c r="XS16" s="279"/>
      <c r="XT16" s="279"/>
      <c r="XU16" s="279"/>
      <c r="XV16" s="279"/>
      <c r="XW16" s="279"/>
      <c r="XX16" s="279"/>
      <c r="XY16" s="279"/>
      <c r="XZ16" s="279"/>
      <c r="YA16" s="279"/>
      <c r="YB16" s="279"/>
      <c r="YC16" s="279"/>
      <c r="YD16" s="279"/>
      <c r="YE16" s="279"/>
      <c r="YF16" s="279"/>
      <c r="YG16" s="279"/>
      <c r="YH16" s="279"/>
      <c r="YI16" s="279"/>
      <c r="YJ16" s="279"/>
      <c r="YK16" s="279"/>
      <c r="YL16" s="279"/>
      <c r="YM16" s="279"/>
      <c r="YN16" s="279"/>
      <c r="YO16" s="279"/>
      <c r="YP16" s="279"/>
      <c r="YQ16" s="279"/>
      <c r="YR16" s="279"/>
      <c r="YS16" s="279"/>
      <c r="YT16" s="279"/>
      <c r="YU16" s="279"/>
      <c r="YV16" s="279"/>
      <c r="YW16" s="279"/>
      <c r="YX16" s="279"/>
      <c r="YY16" s="279"/>
      <c r="YZ16" s="279"/>
      <c r="ZA16" s="279"/>
      <c r="ZB16" s="279"/>
      <c r="ZC16" s="279"/>
      <c r="ZD16" s="279"/>
      <c r="ZE16" s="279"/>
      <c r="ZF16" s="279"/>
      <c r="ZG16" s="279"/>
      <c r="ZH16" s="279"/>
      <c r="ZI16" s="279"/>
      <c r="ZJ16" s="279"/>
      <c r="ZK16" s="279"/>
      <c r="ZL16" s="279"/>
      <c r="ZM16" s="279"/>
      <c r="ZN16" s="279"/>
      <c r="ZO16" s="279"/>
      <c r="ZP16" s="279"/>
      <c r="ZQ16" s="279"/>
      <c r="ZR16" s="279"/>
      <c r="ZS16" s="279"/>
      <c r="ZT16" s="279"/>
      <c r="ZU16" s="279"/>
      <c r="ZV16" s="279"/>
      <c r="ZW16" s="279"/>
      <c r="ZX16" s="279"/>
      <c r="ZY16" s="279"/>
      <c r="ZZ16" s="279"/>
      <c r="AAA16" s="279"/>
      <c r="AAB16" s="279"/>
      <c r="AAC16" s="279"/>
      <c r="AAD16" s="279"/>
      <c r="AAE16" s="279"/>
      <c r="AAF16" s="279"/>
      <c r="AAG16" s="279"/>
      <c r="AAH16" s="279"/>
      <c r="AAI16" s="279"/>
      <c r="AAJ16" s="279"/>
      <c r="AAK16" s="279"/>
      <c r="AAL16" s="279"/>
      <c r="AAM16" s="279"/>
      <c r="AAN16" s="279"/>
      <c r="AAO16" s="279"/>
      <c r="AAP16" s="279"/>
      <c r="AAQ16" s="279"/>
      <c r="AAR16" s="279"/>
      <c r="AAS16" s="279"/>
      <c r="AAT16" s="279"/>
      <c r="AAU16" s="279"/>
      <c r="AAV16" s="279"/>
      <c r="AAW16" s="279"/>
      <c r="AAX16" s="279"/>
      <c r="AAY16" s="279"/>
      <c r="AAZ16" s="279"/>
      <c r="ABA16" s="279"/>
      <c r="ABB16" s="279"/>
      <c r="ABC16" s="279"/>
      <c r="ABD16" s="279"/>
      <c r="ABE16" s="279"/>
      <c r="ABF16" s="279"/>
      <c r="ABG16" s="279"/>
      <c r="ABH16" s="279"/>
      <c r="ABI16" s="279"/>
      <c r="ABJ16" s="279"/>
      <c r="ABK16" s="279"/>
      <c r="ABL16" s="279"/>
      <c r="ABM16" s="279"/>
      <c r="ABN16" s="279"/>
      <c r="ABO16" s="279"/>
      <c r="ABP16" s="279"/>
      <c r="ABQ16" s="279"/>
      <c r="ABR16" s="279"/>
      <c r="ABS16" s="279"/>
      <c r="ABT16" s="279"/>
      <c r="ABU16" s="279"/>
      <c r="ABV16" s="279"/>
      <c r="ABW16" s="279"/>
      <c r="ABX16" s="279"/>
      <c r="ABY16" s="279"/>
      <c r="ABZ16" s="279"/>
      <c r="ACA16" s="279"/>
      <c r="ACB16" s="279"/>
      <c r="ACC16" s="279"/>
      <c r="ACD16" s="279"/>
      <c r="ACE16" s="279"/>
      <c r="ACF16" s="279"/>
      <c r="ACG16" s="279"/>
      <c r="ACH16" s="279"/>
      <c r="ACI16" s="279"/>
      <c r="ACJ16" s="279"/>
      <c r="ACK16" s="279"/>
      <c r="ACL16" s="279"/>
      <c r="ACM16" s="279"/>
      <c r="ACN16" s="279"/>
      <c r="ACO16" s="279"/>
      <c r="ACP16" s="279"/>
      <c r="ACQ16" s="279"/>
      <c r="ACR16" s="279"/>
      <c r="ACS16" s="279"/>
      <c r="ACT16" s="279"/>
      <c r="ACU16" s="279"/>
      <c r="ACV16" s="279"/>
      <c r="ACW16" s="279"/>
      <c r="ACX16" s="279"/>
      <c r="ACY16" s="279"/>
      <c r="ACZ16" s="279"/>
      <c r="ADA16" s="279"/>
      <c r="ADB16" s="279"/>
      <c r="ADC16" s="279"/>
      <c r="ADD16" s="279"/>
      <c r="ADE16" s="279"/>
      <c r="ADF16" s="279"/>
      <c r="ADG16" s="279"/>
      <c r="ADH16" s="279"/>
      <c r="ADI16" s="279"/>
      <c r="ADJ16" s="279"/>
      <c r="ADK16" s="279"/>
      <c r="ADL16" s="279"/>
      <c r="ADM16" s="279"/>
      <c r="ADN16" s="279"/>
      <c r="ADO16" s="279"/>
      <c r="ADP16" s="279"/>
      <c r="ADQ16" s="279"/>
      <c r="ADR16" s="279"/>
      <c r="ADS16" s="279"/>
      <c r="ADT16" s="279"/>
      <c r="ADU16" s="279"/>
      <c r="ADV16" s="279"/>
      <c r="ADW16" s="279"/>
      <c r="ADX16" s="279"/>
      <c r="ADY16" s="279"/>
      <c r="ADZ16" s="279"/>
      <c r="AEA16" s="279"/>
      <c r="AEB16" s="279"/>
      <c r="AEC16" s="279"/>
      <c r="AED16" s="279"/>
      <c r="AEE16" s="279"/>
      <c r="AEF16" s="279"/>
      <c r="AEG16" s="279"/>
      <c r="AEH16" s="279"/>
      <c r="AEI16" s="279"/>
      <c r="AEJ16" s="279"/>
      <c r="AEK16" s="279"/>
      <c r="AEL16" s="279"/>
      <c r="AEM16" s="279"/>
      <c r="AEN16" s="279"/>
      <c r="AEO16" s="279"/>
      <c r="AEP16" s="279"/>
      <c r="AEQ16" s="279"/>
      <c r="AER16" s="279"/>
      <c r="AES16" s="279"/>
      <c r="AET16" s="279"/>
      <c r="AEU16" s="279"/>
      <c r="AEV16" s="279"/>
      <c r="AEW16" s="279"/>
      <c r="AEX16" s="279"/>
      <c r="AEY16" s="279"/>
      <c r="AEZ16" s="279"/>
      <c r="AFA16" s="279"/>
      <c r="AFB16" s="279"/>
      <c r="AFC16" s="279"/>
      <c r="AFD16" s="279"/>
      <c r="AFE16" s="279"/>
      <c r="AFF16" s="279"/>
      <c r="AFG16" s="279"/>
      <c r="AFH16" s="279"/>
      <c r="AFI16" s="279"/>
      <c r="AFJ16" s="279"/>
      <c r="AFK16" s="279"/>
      <c r="AFL16" s="279"/>
      <c r="AFM16" s="279"/>
      <c r="AFN16" s="279"/>
      <c r="AFO16" s="279"/>
      <c r="AFP16" s="279"/>
      <c r="AFQ16" s="279"/>
      <c r="AFR16" s="279"/>
      <c r="AFS16" s="279"/>
      <c r="AFT16" s="279"/>
      <c r="AFU16" s="279"/>
      <c r="AFV16" s="279"/>
      <c r="AFW16" s="279"/>
      <c r="AFX16" s="279"/>
      <c r="AFY16" s="279"/>
      <c r="AFZ16" s="279"/>
      <c r="AGA16" s="279"/>
      <c r="AGB16" s="279"/>
      <c r="AGC16" s="279"/>
      <c r="AGD16" s="279"/>
      <c r="AGE16" s="279"/>
      <c r="AGF16" s="279"/>
      <c r="AGG16" s="279"/>
      <c r="AGH16" s="279"/>
      <c r="AGI16" s="279"/>
      <c r="AGJ16" s="279"/>
      <c r="AGK16" s="279"/>
      <c r="AGL16" s="279"/>
      <c r="AGM16" s="279"/>
      <c r="AGN16" s="279"/>
      <c r="AGO16" s="279"/>
      <c r="AGP16" s="279"/>
      <c r="AGQ16" s="279"/>
      <c r="AGR16" s="279"/>
      <c r="AGS16" s="279"/>
      <c r="AGT16" s="279"/>
      <c r="AGU16" s="279"/>
      <c r="AGV16" s="279"/>
      <c r="AGW16" s="279"/>
      <c r="AGX16" s="279"/>
      <c r="AGY16" s="279"/>
      <c r="AGZ16" s="279"/>
      <c r="AHA16" s="279"/>
      <c r="AHB16" s="279"/>
      <c r="AHC16" s="279"/>
      <c r="AHD16" s="279"/>
      <c r="AHE16" s="279"/>
      <c r="AHF16" s="279"/>
      <c r="AHG16" s="279"/>
      <c r="AHH16" s="279"/>
      <c r="AHI16" s="279"/>
      <c r="AHJ16" s="279"/>
      <c r="AHK16" s="279"/>
      <c r="AHL16" s="279"/>
      <c r="AHM16" s="279"/>
      <c r="AHN16" s="279"/>
      <c r="AHO16" s="279"/>
      <c r="AHP16" s="279"/>
      <c r="AHQ16" s="279"/>
      <c r="AHR16" s="279"/>
      <c r="AHS16" s="279"/>
      <c r="AHT16" s="279"/>
      <c r="AHU16" s="279"/>
      <c r="AHV16" s="279"/>
      <c r="AHW16" s="279"/>
      <c r="AHX16" s="279"/>
      <c r="AHY16" s="279"/>
      <c r="AHZ16" s="279"/>
      <c r="AIA16" s="279"/>
      <c r="AIB16" s="279"/>
      <c r="AIC16" s="279"/>
      <c r="AID16" s="279"/>
      <c r="AIE16" s="279"/>
      <c r="AIF16" s="279"/>
      <c r="AIG16" s="279"/>
      <c r="AIH16" s="279"/>
      <c r="AII16" s="279"/>
      <c r="AIJ16" s="279"/>
      <c r="AIK16" s="279"/>
      <c r="AIL16" s="279"/>
      <c r="AIM16" s="279"/>
      <c r="AIN16" s="279"/>
      <c r="AIO16" s="279"/>
      <c r="AIP16" s="279"/>
      <c r="AIQ16" s="279"/>
      <c r="AIR16" s="279"/>
      <c r="AIS16" s="279"/>
      <c r="AIT16" s="279"/>
      <c r="AIU16" s="279"/>
      <c r="AIV16" s="279"/>
      <c r="AIW16" s="279"/>
      <c r="AIX16" s="279"/>
      <c r="AIY16" s="279"/>
      <c r="AIZ16" s="279"/>
      <c r="AJA16" s="279"/>
      <c r="AJB16" s="279"/>
      <c r="AJC16" s="279"/>
      <c r="AJD16" s="279"/>
      <c r="AJE16" s="279"/>
      <c r="AJF16" s="279"/>
      <c r="AJG16" s="279"/>
      <c r="AJH16" s="279"/>
      <c r="AJI16" s="279"/>
      <c r="AJJ16" s="279"/>
      <c r="AJK16" s="279"/>
      <c r="AJL16" s="279"/>
      <c r="AJM16" s="279"/>
      <c r="AJN16" s="279"/>
      <c r="AJO16" s="279"/>
      <c r="AJP16" s="279"/>
      <c r="AJQ16" s="279"/>
      <c r="AJR16" s="279"/>
      <c r="AJS16" s="279"/>
      <c r="AJT16" s="279"/>
      <c r="AJU16" s="279"/>
      <c r="AJV16" s="279"/>
      <c r="AJW16" s="279"/>
      <c r="AJX16" s="279"/>
      <c r="AJY16" s="279"/>
      <c r="AJZ16" s="279"/>
      <c r="AKA16" s="279"/>
      <c r="AKB16" s="279"/>
      <c r="AKC16" s="279"/>
      <c r="AKD16" s="279"/>
      <c r="AKE16" s="279"/>
      <c r="AKF16" s="279"/>
      <c r="AKG16" s="279"/>
      <c r="AKH16" s="279"/>
      <c r="AKI16" s="279"/>
      <c r="AKJ16" s="279"/>
      <c r="AKK16" s="279"/>
      <c r="AKL16" s="279"/>
      <c r="AKM16" s="279"/>
      <c r="AKN16" s="279"/>
      <c r="AKO16" s="279"/>
      <c r="AKP16" s="279"/>
      <c r="AKQ16" s="279"/>
      <c r="AKR16" s="279"/>
      <c r="AKS16" s="279"/>
      <c r="AKT16" s="279"/>
      <c r="AKU16" s="279"/>
      <c r="AKV16" s="279"/>
      <c r="AKW16" s="279"/>
      <c r="AKX16" s="279"/>
      <c r="AKY16" s="279"/>
      <c r="AKZ16" s="279"/>
      <c r="ALA16" s="279"/>
      <c r="ALB16" s="279"/>
      <c r="ALC16" s="279"/>
      <c r="ALD16" s="279"/>
      <c r="ALE16" s="279"/>
      <c r="ALF16" s="279"/>
      <c r="ALG16" s="279"/>
      <c r="ALH16" s="279"/>
      <c r="ALI16" s="279"/>
      <c r="ALJ16" s="279"/>
      <c r="ALK16" s="279"/>
      <c r="ALL16" s="279"/>
      <c r="ALM16" s="279"/>
      <c r="ALN16" s="279"/>
      <c r="ALO16" s="279"/>
      <c r="ALP16" s="279"/>
      <c r="ALQ16" s="279"/>
      <c r="ALR16" s="279"/>
      <c r="ALS16" s="279"/>
      <c r="ALT16" s="279"/>
      <c r="ALU16" s="279"/>
      <c r="ALV16" s="279"/>
      <c r="ALW16" s="279"/>
      <c r="ALX16" s="279"/>
      <c r="ALY16" s="279"/>
      <c r="ALZ16" s="279"/>
      <c r="AMA16" s="279"/>
      <c r="AMB16" s="279"/>
      <c r="AMC16" s="279"/>
      <c r="AMD16" s="279"/>
      <c r="AME16" s="279"/>
      <c r="AMF16" s="279"/>
      <c r="AMG16" s="279"/>
      <c r="AMH16" s="279"/>
      <c r="AMI16" s="279"/>
      <c r="AMJ16" s="279"/>
      <c r="AMK16" s="279"/>
      <c r="AML16" s="279"/>
      <c r="AMM16" s="279"/>
      <c r="AMN16" s="279"/>
      <c r="AMO16" s="279"/>
      <c r="AMP16" s="279"/>
      <c r="AMQ16" s="279"/>
      <c r="AMR16" s="279"/>
      <c r="AMS16" s="279"/>
      <c r="AMT16" s="279"/>
      <c r="AMU16" s="279"/>
      <c r="AMV16" s="279"/>
      <c r="AMW16" s="279"/>
      <c r="AMX16" s="279"/>
      <c r="AMY16" s="279"/>
      <c r="AMZ16" s="279"/>
      <c r="ANA16" s="279"/>
      <c r="ANB16" s="279"/>
      <c r="ANC16" s="279"/>
      <c r="AND16" s="279"/>
      <c r="ANE16" s="279"/>
      <c r="ANF16" s="279"/>
      <c r="ANG16" s="279"/>
      <c r="ANH16" s="279"/>
      <c r="ANI16" s="279"/>
      <c r="ANJ16" s="279"/>
      <c r="ANK16" s="279"/>
      <c r="ANL16" s="279"/>
      <c r="ANM16" s="279"/>
      <c r="ANN16" s="279"/>
      <c r="ANO16" s="279"/>
      <c r="ANP16" s="279"/>
      <c r="ANQ16" s="279"/>
      <c r="ANR16" s="279"/>
      <c r="ANS16" s="279"/>
      <c r="ANT16" s="279"/>
      <c r="ANU16" s="279"/>
      <c r="ANV16" s="279"/>
      <c r="ANW16" s="279"/>
      <c r="ANX16" s="279"/>
      <c r="ANY16" s="279"/>
      <c r="ANZ16" s="279"/>
      <c r="AOA16" s="279"/>
      <c r="AOB16" s="279"/>
      <c r="AOC16" s="279"/>
      <c r="AOD16" s="279"/>
      <c r="AOE16" s="279"/>
      <c r="AOF16" s="279"/>
      <c r="AOG16" s="279"/>
      <c r="AOH16" s="279"/>
      <c r="AOI16" s="279"/>
      <c r="AOJ16" s="279"/>
      <c r="AOK16" s="279"/>
      <c r="AOL16" s="279"/>
      <c r="AOM16" s="279"/>
      <c r="AON16" s="279"/>
      <c r="AOO16" s="279"/>
      <c r="AOP16" s="279"/>
      <c r="AOQ16" s="279"/>
      <c r="AOR16" s="279"/>
      <c r="AOS16" s="279"/>
      <c r="AOT16" s="279"/>
      <c r="AOU16" s="279"/>
      <c r="AOV16" s="279"/>
      <c r="AOW16" s="279"/>
      <c r="AOX16" s="279"/>
      <c r="AOY16" s="279"/>
      <c r="AOZ16" s="279"/>
      <c r="APA16" s="279"/>
      <c r="APB16" s="279"/>
      <c r="APC16" s="279"/>
      <c r="APD16" s="279"/>
      <c r="APE16" s="279"/>
      <c r="APF16" s="279"/>
      <c r="APG16" s="279"/>
      <c r="APH16" s="279"/>
      <c r="API16" s="279"/>
      <c r="APJ16" s="279"/>
      <c r="APK16" s="279"/>
      <c r="APL16" s="279"/>
      <c r="APM16" s="279"/>
      <c r="APN16" s="279"/>
      <c r="APO16" s="279"/>
      <c r="APP16" s="279"/>
      <c r="APQ16" s="279"/>
      <c r="APR16" s="279"/>
      <c r="APS16" s="279"/>
      <c r="APT16" s="279"/>
      <c r="APU16" s="279"/>
      <c r="APV16" s="279"/>
      <c r="APW16" s="279"/>
      <c r="APX16" s="279"/>
      <c r="APY16" s="279"/>
      <c r="APZ16" s="279"/>
      <c r="AQA16" s="279"/>
      <c r="AQB16" s="279"/>
      <c r="AQC16" s="279"/>
      <c r="AQD16" s="279"/>
      <c r="AQE16" s="279"/>
      <c r="AQF16" s="279"/>
      <c r="AQG16" s="279"/>
      <c r="AQH16" s="279"/>
      <c r="AQI16" s="279"/>
      <c r="AQJ16" s="279"/>
      <c r="AQK16" s="279"/>
      <c r="AQL16" s="279"/>
      <c r="AQM16" s="279"/>
      <c r="AQN16" s="279"/>
      <c r="AQO16" s="279"/>
      <c r="AQP16" s="279"/>
      <c r="AQQ16" s="279"/>
      <c r="AQR16" s="279"/>
      <c r="AQS16" s="279"/>
      <c r="AQT16" s="279"/>
      <c r="AQU16" s="279"/>
      <c r="AQV16" s="279"/>
      <c r="AQW16" s="279"/>
      <c r="AQX16" s="279"/>
      <c r="AQY16" s="279"/>
      <c r="AQZ16" s="279"/>
      <c r="ARA16" s="279"/>
      <c r="ARB16" s="279"/>
      <c r="ARC16" s="279"/>
      <c r="ARD16" s="279"/>
      <c r="ARE16" s="279"/>
      <c r="ARF16" s="279"/>
      <c r="ARG16" s="279"/>
      <c r="ARH16" s="279"/>
      <c r="ARI16" s="279"/>
      <c r="ARJ16" s="279"/>
      <c r="ARK16" s="279"/>
      <c r="ARL16" s="279"/>
      <c r="ARM16" s="279"/>
      <c r="ARN16" s="279"/>
      <c r="ARO16" s="279"/>
      <c r="ARP16" s="279"/>
      <c r="ARQ16" s="279"/>
      <c r="ARR16" s="279"/>
      <c r="ARS16" s="279"/>
      <c r="ART16" s="279"/>
      <c r="ARU16" s="279"/>
      <c r="ARV16" s="279"/>
      <c r="ARW16" s="279"/>
      <c r="ARX16" s="279"/>
      <c r="ARY16" s="279"/>
      <c r="ARZ16" s="279"/>
      <c r="ASA16" s="279"/>
      <c r="ASB16" s="279"/>
      <c r="ASC16" s="279"/>
      <c r="ASD16" s="279"/>
      <c r="ASE16" s="279"/>
      <c r="ASF16" s="279"/>
      <c r="ASG16" s="279"/>
      <c r="ASH16" s="279"/>
      <c r="ASI16" s="279"/>
      <c r="ASJ16" s="279"/>
      <c r="ASK16" s="279"/>
      <c r="ASL16" s="279"/>
      <c r="ASM16" s="279"/>
      <c r="ASN16" s="279"/>
      <c r="ASO16" s="279"/>
      <c r="ASP16" s="279"/>
      <c r="ASQ16" s="279"/>
      <c r="ASR16" s="279"/>
      <c r="ASS16" s="279"/>
      <c r="AST16" s="279"/>
      <c r="ASU16" s="279"/>
      <c r="ASV16" s="279"/>
      <c r="ASW16" s="279"/>
      <c r="ASX16" s="279"/>
      <c r="ASY16" s="279"/>
      <c r="ASZ16" s="279"/>
      <c r="ATA16" s="279"/>
      <c r="ATB16" s="279"/>
      <c r="ATC16" s="279"/>
      <c r="ATD16" s="279"/>
      <c r="ATE16" s="279"/>
      <c r="ATF16" s="279"/>
      <c r="ATG16" s="279"/>
      <c r="ATH16" s="279"/>
      <c r="ATI16" s="279"/>
      <c r="ATJ16" s="279"/>
      <c r="ATK16" s="279"/>
      <c r="ATL16" s="279"/>
      <c r="ATM16" s="279"/>
      <c r="ATN16" s="279"/>
      <c r="ATO16" s="279"/>
      <c r="ATP16" s="279"/>
      <c r="ATQ16" s="279"/>
      <c r="ATR16" s="279"/>
      <c r="ATS16" s="279"/>
      <c r="ATT16" s="279"/>
      <c r="ATU16" s="279"/>
      <c r="ATV16" s="279"/>
      <c r="ATW16" s="279"/>
      <c r="ATX16" s="279"/>
      <c r="ATY16" s="279"/>
      <c r="ATZ16" s="279"/>
      <c r="AUA16" s="279"/>
      <c r="AUB16" s="279"/>
      <c r="AUC16" s="279"/>
      <c r="AUD16" s="279"/>
      <c r="AUE16" s="279"/>
      <c r="AUF16" s="279"/>
      <c r="AUG16" s="279"/>
      <c r="AUH16" s="279"/>
      <c r="AUI16" s="279"/>
      <c r="AUJ16" s="279"/>
      <c r="AUK16" s="279"/>
      <c r="AUL16" s="279"/>
      <c r="AUM16" s="279"/>
      <c r="AUN16" s="279"/>
      <c r="AUO16" s="279"/>
      <c r="AUP16" s="279"/>
      <c r="AUQ16" s="279"/>
      <c r="AUR16" s="279"/>
      <c r="AUS16" s="279"/>
      <c r="AUT16" s="279"/>
      <c r="AUU16" s="279"/>
      <c r="AUV16" s="279"/>
      <c r="AUW16" s="279"/>
      <c r="AUX16" s="279"/>
      <c r="AUY16" s="279"/>
      <c r="AUZ16" s="279"/>
      <c r="AVA16" s="279"/>
      <c r="AVB16" s="279"/>
      <c r="AVC16" s="279"/>
      <c r="AVD16" s="279"/>
      <c r="AVE16" s="279"/>
      <c r="AVF16" s="279"/>
      <c r="AVG16" s="279"/>
      <c r="AVH16" s="279"/>
      <c r="AVI16" s="279"/>
      <c r="AVJ16" s="279"/>
      <c r="AVK16" s="279"/>
      <c r="AVL16" s="279"/>
      <c r="AVM16" s="279"/>
      <c r="AVN16" s="279"/>
      <c r="AVO16" s="279"/>
      <c r="AVP16" s="279"/>
      <c r="AVQ16" s="279"/>
      <c r="AVR16" s="279"/>
      <c r="AVS16" s="279"/>
      <c r="AVT16" s="279"/>
      <c r="AVU16" s="279"/>
      <c r="AVV16" s="279"/>
      <c r="AVW16" s="279"/>
      <c r="AVX16" s="279"/>
      <c r="AVY16" s="279"/>
      <c r="AVZ16" s="279"/>
      <c r="AWA16" s="279"/>
      <c r="AWB16" s="279"/>
      <c r="AWC16" s="279"/>
      <c r="AWD16" s="279"/>
      <c r="AWE16" s="279"/>
      <c r="AWF16" s="279"/>
      <c r="AWG16" s="279"/>
      <c r="AWH16" s="279"/>
      <c r="AWI16" s="279"/>
      <c r="AWJ16" s="279"/>
      <c r="AWK16" s="279"/>
      <c r="AWL16" s="279"/>
      <c r="AWM16" s="279"/>
      <c r="AWN16" s="279"/>
      <c r="AWO16" s="279"/>
      <c r="AWP16" s="279"/>
      <c r="AWQ16" s="279"/>
      <c r="AWR16" s="279"/>
      <c r="AWS16" s="279"/>
      <c r="AWT16" s="279"/>
      <c r="AWU16" s="279"/>
      <c r="AWV16" s="279"/>
      <c r="AWW16" s="279"/>
      <c r="AWX16" s="279"/>
      <c r="AWY16" s="279"/>
      <c r="AWZ16" s="279"/>
      <c r="AXA16" s="279"/>
      <c r="AXB16" s="279"/>
      <c r="AXC16" s="279"/>
      <c r="AXD16" s="279"/>
      <c r="AXE16" s="279"/>
      <c r="AXF16" s="279"/>
      <c r="AXG16" s="279"/>
      <c r="AXH16" s="279"/>
      <c r="AXI16" s="279"/>
      <c r="AXJ16" s="279"/>
      <c r="AXK16" s="279"/>
      <c r="AXL16" s="279"/>
      <c r="AXM16" s="279"/>
      <c r="AXN16" s="279"/>
      <c r="AXO16" s="279"/>
      <c r="AXP16" s="279"/>
      <c r="AXQ16" s="279"/>
      <c r="AXR16" s="279"/>
      <c r="AXS16" s="279"/>
      <c r="AXT16" s="279"/>
      <c r="AXU16" s="279"/>
      <c r="AXV16" s="279"/>
      <c r="AXW16" s="279"/>
      <c r="AXX16" s="279"/>
      <c r="AXY16" s="279"/>
      <c r="AXZ16" s="279"/>
      <c r="AYA16" s="279"/>
      <c r="AYB16" s="279"/>
      <c r="AYC16" s="279"/>
      <c r="AYD16" s="279"/>
      <c r="AYE16" s="279"/>
      <c r="AYF16" s="279"/>
      <c r="AYG16" s="279"/>
      <c r="AYH16" s="279"/>
      <c r="AYI16" s="279"/>
      <c r="AYJ16" s="279"/>
      <c r="AYK16" s="279"/>
      <c r="AYL16" s="279"/>
      <c r="AYM16" s="279"/>
      <c r="AYN16" s="279"/>
      <c r="AYO16" s="279"/>
      <c r="AYP16" s="279"/>
      <c r="AYQ16" s="279"/>
      <c r="AYR16" s="279"/>
      <c r="AYS16" s="279"/>
      <c r="AYT16" s="279"/>
      <c r="AYU16" s="279"/>
      <c r="AYV16" s="279"/>
      <c r="AYW16" s="279"/>
      <c r="AYX16" s="279"/>
      <c r="AYY16" s="279"/>
      <c r="AYZ16" s="279"/>
      <c r="AZA16" s="279"/>
      <c r="AZB16" s="279"/>
      <c r="AZC16" s="279"/>
      <c r="AZD16" s="279"/>
      <c r="AZE16" s="279"/>
      <c r="AZF16" s="279"/>
      <c r="AZG16" s="279"/>
      <c r="AZH16" s="279"/>
      <c r="AZI16" s="279"/>
      <c r="AZJ16" s="279"/>
      <c r="AZK16" s="279"/>
      <c r="AZL16" s="279"/>
      <c r="AZM16" s="279"/>
      <c r="AZN16" s="279"/>
      <c r="AZO16" s="279"/>
      <c r="AZP16" s="279"/>
      <c r="AZQ16" s="279"/>
      <c r="AZR16" s="279"/>
      <c r="AZS16" s="279"/>
      <c r="AZT16" s="279"/>
      <c r="AZU16" s="279"/>
      <c r="AZV16" s="279"/>
      <c r="AZW16" s="279"/>
      <c r="AZX16" s="279"/>
      <c r="AZY16" s="279"/>
      <c r="AZZ16" s="279"/>
      <c r="BAA16" s="279"/>
      <c r="BAB16" s="279"/>
      <c r="BAC16" s="279"/>
      <c r="BAD16" s="279"/>
      <c r="BAE16" s="279"/>
      <c r="BAF16" s="279"/>
      <c r="BAG16" s="279"/>
      <c r="BAH16" s="279"/>
      <c r="BAI16" s="279"/>
      <c r="BAJ16" s="279"/>
      <c r="BAK16" s="279"/>
      <c r="BAL16" s="279"/>
      <c r="BAM16" s="279"/>
      <c r="BAN16" s="279"/>
      <c r="BAO16" s="279"/>
      <c r="BAP16" s="279"/>
      <c r="BAQ16" s="279"/>
      <c r="BAR16" s="279"/>
      <c r="BAS16" s="279"/>
      <c r="BAT16" s="279"/>
      <c r="BAU16" s="279"/>
      <c r="BAV16" s="279"/>
      <c r="BAW16" s="279"/>
      <c r="BAX16" s="279"/>
      <c r="BAY16" s="279"/>
      <c r="BAZ16" s="279"/>
      <c r="BBA16" s="279"/>
      <c r="BBB16" s="279"/>
      <c r="BBC16" s="279"/>
      <c r="BBD16" s="279"/>
      <c r="BBE16" s="279"/>
      <c r="BBF16" s="279"/>
      <c r="BBG16" s="279"/>
      <c r="BBH16" s="279"/>
      <c r="BBI16" s="279"/>
      <c r="BBJ16" s="279"/>
      <c r="BBK16" s="279"/>
      <c r="BBL16" s="279"/>
      <c r="BBM16" s="279"/>
      <c r="BBN16" s="279"/>
      <c r="BBO16" s="279"/>
      <c r="BBP16" s="279"/>
      <c r="BBQ16" s="279"/>
      <c r="BBR16" s="279"/>
      <c r="BBS16" s="279"/>
      <c r="BBT16" s="279"/>
      <c r="BBU16" s="279"/>
      <c r="BBV16" s="279"/>
      <c r="BBW16" s="279"/>
      <c r="BBX16" s="279"/>
      <c r="BBY16" s="279"/>
      <c r="BBZ16" s="279"/>
      <c r="BCA16" s="279"/>
      <c r="BCB16" s="279"/>
      <c r="BCC16" s="279"/>
      <c r="BCD16" s="279"/>
      <c r="BCE16" s="279"/>
      <c r="BCF16" s="279"/>
      <c r="BCG16" s="279"/>
      <c r="BCH16" s="279"/>
      <c r="BCI16" s="279"/>
      <c r="BCJ16" s="279"/>
      <c r="BCK16" s="279"/>
      <c r="BCL16" s="279"/>
      <c r="BCM16" s="279"/>
      <c r="BCN16" s="279"/>
      <c r="BCO16" s="279"/>
      <c r="BCP16" s="279"/>
      <c r="BCQ16" s="279"/>
      <c r="BCR16" s="279"/>
      <c r="BCS16" s="279"/>
      <c r="BCT16" s="279"/>
      <c r="BCU16" s="279"/>
      <c r="BCV16" s="279"/>
      <c r="BCW16" s="279"/>
      <c r="BCX16" s="279"/>
      <c r="BCY16" s="279"/>
      <c r="BCZ16" s="279"/>
      <c r="BDA16" s="279"/>
      <c r="BDB16" s="279"/>
      <c r="BDC16" s="279"/>
      <c r="BDD16" s="279"/>
      <c r="BDE16" s="279"/>
      <c r="BDF16" s="279"/>
      <c r="BDG16" s="279"/>
      <c r="BDH16" s="279"/>
      <c r="BDI16" s="279"/>
      <c r="BDJ16" s="279"/>
      <c r="BDK16" s="279"/>
      <c r="BDL16" s="279"/>
      <c r="BDM16" s="279"/>
      <c r="BDN16" s="279"/>
      <c r="BDO16" s="279"/>
      <c r="BDP16" s="279"/>
      <c r="BDQ16" s="279"/>
      <c r="BDR16" s="279"/>
      <c r="BDS16" s="279"/>
      <c r="BDT16" s="279"/>
      <c r="BDU16" s="279"/>
      <c r="BDV16" s="279"/>
      <c r="BDW16" s="279"/>
      <c r="BDX16" s="279"/>
      <c r="BDY16" s="279"/>
      <c r="BDZ16" s="279"/>
      <c r="BEA16" s="279"/>
      <c r="BEB16" s="279"/>
      <c r="BEC16" s="279"/>
      <c r="BED16" s="279"/>
      <c r="BEE16" s="279"/>
      <c r="BEF16" s="279"/>
      <c r="BEG16" s="279"/>
      <c r="BEH16" s="279"/>
      <c r="BEI16" s="279"/>
      <c r="BEJ16" s="279"/>
      <c r="BEK16" s="279"/>
      <c r="BEL16" s="279"/>
      <c r="BEM16" s="279"/>
      <c r="BEN16" s="279"/>
      <c r="BEO16" s="279"/>
      <c r="BEP16" s="279"/>
      <c r="BEQ16" s="279"/>
      <c r="BER16" s="279"/>
      <c r="BES16" s="279"/>
      <c r="BET16" s="279"/>
      <c r="BEU16" s="279"/>
      <c r="BEV16" s="279"/>
      <c r="BEW16" s="279"/>
      <c r="BEX16" s="279"/>
      <c r="BEY16" s="279"/>
      <c r="BEZ16" s="279"/>
      <c r="BFA16" s="279"/>
      <c r="BFB16" s="279"/>
      <c r="BFC16" s="279"/>
      <c r="BFD16" s="279"/>
      <c r="BFE16" s="279"/>
      <c r="BFF16" s="279"/>
      <c r="BFG16" s="279"/>
      <c r="BFH16" s="279"/>
      <c r="BFI16" s="279"/>
      <c r="BFJ16" s="279"/>
      <c r="BFK16" s="279"/>
      <c r="BFL16" s="279"/>
      <c r="BFM16" s="279"/>
      <c r="BFN16" s="279"/>
      <c r="BFO16" s="279"/>
      <c r="BFP16" s="279"/>
      <c r="BFQ16" s="279"/>
      <c r="BFR16" s="279"/>
      <c r="BFS16" s="279"/>
      <c r="BFT16" s="279"/>
      <c r="BFU16" s="279"/>
      <c r="BFV16" s="279"/>
      <c r="BFW16" s="279"/>
      <c r="BFX16" s="279"/>
      <c r="BFY16" s="279"/>
      <c r="BFZ16" s="279"/>
      <c r="BGA16" s="279"/>
      <c r="BGB16" s="279"/>
      <c r="BGC16" s="279"/>
      <c r="BGD16" s="279"/>
      <c r="BGE16" s="279"/>
      <c r="BGF16" s="279"/>
      <c r="BGG16" s="279"/>
      <c r="BGH16" s="279"/>
      <c r="BGI16" s="279"/>
      <c r="BGJ16" s="279"/>
      <c r="BGK16" s="279"/>
      <c r="BGL16" s="279"/>
      <c r="BGM16" s="279"/>
      <c r="BGN16" s="279"/>
      <c r="BGO16" s="279"/>
      <c r="BGP16" s="279"/>
      <c r="BGQ16" s="279"/>
      <c r="BGR16" s="279"/>
      <c r="BGS16" s="279"/>
      <c r="BGT16" s="279"/>
      <c r="BGU16" s="279"/>
      <c r="BGV16" s="279"/>
      <c r="BGW16" s="279"/>
      <c r="BGX16" s="279"/>
      <c r="BGY16" s="279"/>
      <c r="BGZ16" s="279"/>
      <c r="BHA16" s="279"/>
      <c r="BHB16" s="279"/>
      <c r="BHC16" s="279"/>
      <c r="BHD16" s="279"/>
      <c r="BHE16" s="279"/>
      <c r="BHF16" s="279"/>
      <c r="BHG16" s="279"/>
      <c r="BHH16" s="279"/>
      <c r="BHI16" s="279"/>
      <c r="BHJ16" s="279"/>
      <c r="BHK16" s="279"/>
      <c r="BHL16" s="279"/>
      <c r="BHM16" s="279"/>
      <c r="BHN16" s="279"/>
      <c r="BHO16" s="279"/>
      <c r="BHP16" s="279"/>
      <c r="BHQ16" s="279"/>
      <c r="BHR16" s="279"/>
      <c r="BHS16" s="279"/>
      <c r="BHT16" s="279"/>
      <c r="BHU16" s="279"/>
      <c r="BHV16" s="279"/>
      <c r="BHW16" s="279"/>
      <c r="BHX16" s="279"/>
      <c r="BHY16" s="279"/>
      <c r="BHZ16" s="279"/>
      <c r="BIA16" s="279"/>
      <c r="BIB16" s="279"/>
      <c r="BIC16" s="279"/>
      <c r="BID16" s="279"/>
      <c r="BIE16" s="279"/>
      <c r="BIF16" s="279"/>
      <c r="BIG16" s="279"/>
      <c r="BIH16" s="279"/>
      <c r="BII16" s="279"/>
      <c r="BIJ16" s="279"/>
      <c r="BIK16" s="279"/>
      <c r="BIL16" s="279"/>
      <c r="BIM16" s="279"/>
      <c r="BIN16" s="279"/>
      <c r="BIO16" s="279"/>
      <c r="BIP16" s="279"/>
      <c r="BIQ16" s="279"/>
      <c r="BIR16" s="279"/>
      <c r="BIS16" s="279"/>
      <c r="BIT16" s="279"/>
      <c r="BIU16" s="279"/>
      <c r="BIV16" s="279"/>
      <c r="BIW16" s="279"/>
      <c r="BIX16" s="279"/>
      <c r="BIY16" s="279"/>
      <c r="BIZ16" s="279"/>
      <c r="BJA16" s="279"/>
      <c r="BJB16" s="279"/>
      <c r="BJC16" s="279"/>
      <c r="BJD16" s="279"/>
      <c r="BJE16" s="279"/>
      <c r="BJF16" s="279"/>
      <c r="BJG16" s="279"/>
      <c r="BJH16" s="279"/>
      <c r="BJI16" s="279"/>
      <c r="BJJ16" s="279"/>
      <c r="BJK16" s="279"/>
      <c r="BJL16" s="279"/>
      <c r="BJM16" s="279"/>
      <c r="BJN16" s="279"/>
      <c r="BJO16" s="279"/>
      <c r="BJP16" s="279"/>
      <c r="BJQ16" s="279"/>
      <c r="BJR16" s="279"/>
      <c r="BJS16" s="279"/>
      <c r="BJT16" s="279"/>
      <c r="BJU16" s="279"/>
      <c r="BJV16" s="279"/>
      <c r="BJW16" s="279"/>
      <c r="BJX16" s="279"/>
      <c r="BJY16" s="279"/>
      <c r="BJZ16" s="279"/>
      <c r="BKA16" s="279"/>
      <c r="BKB16" s="279"/>
      <c r="BKC16" s="279"/>
      <c r="BKD16" s="279"/>
      <c r="BKE16" s="279"/>
      <c r="BKF16" s="279"/>
      <c r="BKG16" s="279"/>
      <c r="BKH16" s="279"/>
      <c r="BKI16" s="279"/>
      <c r="BKJ16" s="279"/>
      <c r="BKK16" s="279"/>
      <c r="BKL16" s="279"/>
      <c r="BKM16" s="279"/>
      <c r="BKN16" s="279"/>
      <c r="BKO16" s="279"/>
      <c r="BKP16" s="279"/>
      <c r="BKQ16" s="279"/>
      <c r="BKR16" s="279"/>
      <c r="BKS16" s="279"/>
      <c r="BKT16" s="279"/>
      <c r="BKU16" s="279"/>
      <c r="BKV16" s="279"/>
      <c r="BKW16" s="279"/>
      <c r="BKX16" s="279"/>
      <c r="BKY16" s="279"/>
      <c r="BKZ16" s="279"/>
      <c r="BLA16" s="279"/>
      <c r="BLB16" s="279"/>
      <c r="BLC16" s="279"/>
      <c r="BLD16" s="279"/>
      <c r="BLE16" s="279"/>
      <c r="BLF16" s="279"/>
      <c r="BLG16" s="279"/>
      <c r="BLH16" s="279"/>
      <c r="BLI16" s="279"/>
      <c r="BLJ16" s="279"/>
      <c r="BLK16" s="279"/>
      <c r="BLL16" s="279"/>
      <c r="BLM16" s="279"/>
      <c r="BLN16" s="279"/>
      <c r="BLO16" s="279"/>
      <c r="BLP16" s="279"/>
      <c r="BLQ16" s="279"/>
      <c r="BLR16" s="279"/>
      <c r="BLS16" s="279"/>
      <c r="BLT16" s="279"/>
      <c r="BLU16" s="279"/>
      <c r="BLV16" s="279"/>
      <c r="BLW16" s="279"/>
      <c r="BLX16" s="279"/>
      <c r="BLY16" s="279"/>
      <c r="BLZ16" s="279"/>
      <c r="BMA16" s="279"/>
      <c r="BMB16" s="279"/>
      <c r="BMC16" s="279"/>
      <c r="BMD16" s="279"/>
      <c r="BME16" s="279"/>
      <c r="BMF16" s="279"/>
      <c r="BMG16" s="279"/>
      <c r="BMH16" s="279"/>
      <c r="BMI16" s="279"/>
      <c r="BMJ16" s="279"/>
      <c r="BMK16" s="279"/>
      <c r="BML16" s="279"/>
      <c r="BMM16" s="279"/>
      <c r="BMN16" s="279"/>
      <c r="BMO16" s="279"/>
      <c r="BMP16" s="279"/>
      <c r="BMQ16" s="279"/>
      <c r="BMR16" s="279"/>
      <c r="BMS16" s="279"/>
      <c r="BMT16" s="279"/>
      <c r="BMU16" s="279"/>
      <c r="BMV16" s="279"/>
      <c r="BMW16" s="279"/>
      <c r="BMX16" s="279"/>
      <c r="BMY16" s="279"/>
      <c r="BMZ16" s="279"/>
      <c r="BNA16" s="279"/>
      <c r="BNB16" s="279"/>
      <c r="BNC16" s="279"/>
      <c r="BND16" s="279"/>
      <c r="BNE16" s="279"/>
      <c r="BNF16" s="279"/>
      <c r="BNG16" s="279"/>
      <c r="BNH16" s="279"/>
      <c r="BNI16" s="279"/>
      <c r="BNJ16" s="279"/>
      <c r="BNK16" s="279"/>
      <c r="BNL16" s="279"/>
      <c r="BNM16" s="279"/>
      <c r="BNN16" s="279"/>
      <c r="BNO16" s="279"/>
      <c r="BNP16" s="279"/>
      <c r="BNQ16" s="279"/>
      <c r="BNR16" s="279"/>
      <c r="BNS16" s="279"/>
      <c r="BNT16" s="279"/>
      <c r="BNU16" s="279"/>
      <c r="BNV16" s="279"/>
      <c r="BNW16" s="279"/>
      <c r="BNX16" s="279"/>
      <c r="BNY16" s="279"/>
      <c r="BNZ16" s="279"/>
      <c r="BOA16" s="279"/>
      <c r="BOB16" s="279"/>
      <c r="BOC16" s="279"/>
      <c r="BOD16" s="279"/>
      <c r="BOE16" s="279"/>
      <c r="BOF16" s="279"/>
      <c r="BOG16" s="279"/>
      <c r="BOH16" s="279"/>
      <c r="BOI16" s="279"/>
      <c r="BOJ16" s="279"/>
      <c r="BOK16" s="279"/>
      <c r="BOL16" s="279"/>
      <c r="BOM16" s="279"/>
      <c r="BON16" s="279"/>
      <c r="BOO16" s="279"/>
      <c r="BOP16" s="279"/>
      <c r="BOQ16" s="279"/>
      <c r="BOR16" s="279"/>
      <c r="BOS16" s="279"/>
      <c r="BOT16" s="279"/>
      <c r="BOU16" s="279"/>
      <c r="BOV16" s="279"/>
      <c r="BOW16" s="279"/>
      <c r="BOX16" s="279"/>
      <c r="BOY16" s="279"/>
      <c r="BOZ16" s="279"/>
      <c r="BPA16" s="279"/>
      <c r="BPB16" s="279"/>
      <c r="BPC16" s="279"/>
      <c r="BPD16" s="279"/>
      <c r="BPE16" s="279"/>
      <c r="BPF16" s="279"/>
      <c r="BPG16" s="279"/>
      <c r="BPH16" s="279"/>
      <c r="BPI16" s="279"/>
      <c r="BPJ16" s="279"/>
      <c r="BPK16" s="279"/>
      <c r="BPL16" s="279"/>
      <c r="BPM16" s="279"/>
      <c r="BPN16" s="279"/>
      <c r="BPO16" s="279"/>
      <c r="BPP16" s="279"/>
      <c r="BPQ16" s="279"/>
      <c r="BPR16" s="279"/>
      <c r="BPS16" s="279"/>
      <c r="BPT16" s="279"/>
      <c r="BPU16" s="279"/>
      <c r="BPV16" s="279"/>
      <c r="BPW16" s="279"/>
      <c r="BPX16" s="279"/>
      <c r="BPY16" s="279"/>
      <c r="BPZ16" s="279"/>
      <c r="BQA16" s="279"/>
      <c r="BQB16" s="279"/>
      <c r="BQC16" s="279"/>
      <c r="BQD16" s="279"/>
      <c r="BQE16" s="279"/>
      <c r="BQF16" s="279"/>
      <c r="BQG16" s="279"/>
      <c r="BQH16" s="279"/>
      <c r="BQI16" s="279"/>
      <c r="BQJ16" s="279"/>
      <c r="BQK16" s="279"/>
      <c r="BQL16" s="279"/>
      <c r="BQM16" s="279"/>
      <c r="BQN16" s="279"/>
      <c r="BQO16" s="279"/>
      <c r="BQP16" s="279"/>
      <c r="BQQ16" s="279"/>
      <c r="BQR16" s="279"/>
      <c r="BQS16" s="279"/>
      <c r="BQT16" s="279"/>
      <c r="BQU16" s="279"/>
      <c r="BQV16" s="279"/>
      <c r="BQW16" s="279"/>
      <c r="BQX16" s="279"/>
      <c r="BQY16" s="279"/>
      <c r="BQZ16" s="279"/>
      <c r="BRA16" s="279"/>
      <c r="BRB16" s="279"/>
      <c r="BRC16" s="279"/>
      <c r="BRD16" s="279"/>
      <c r="BRE16" s="279"/>
      <c r="BRF16" s="279"/>
      <c r="BRG16" s="279"/>
      <c r="BRH16" s="279"/>
      <c r="BRI16" s="279"/>
      <c r="BRJ16" s="279"/>
      <c r="BRK16" s="279"/>
      <c r="BRL16" s="279"/>
      <c r="BRM16" s="279"/>
      <c r="BRN16" s="279"/>
      <c r="BRO16" s="279"/>
      <c r="BRP16" s="279"/>
      <c r="BRQ16" s="279"/>
      <c r="BRR16" s="279"/>
      <c r="BRS16" s="279"/>
      <c r="BRT16" s="279"/>
      <c r="BRU16" s="279"/>
      <c r="BRV16" s="279"/>
      <c r="BRW16" s="279"/>
      <c r="BRX16" s="279"/>
      <c r="BRY16" s="279"/>
      <c r="BRZ16" s="279"/>
      <c r="BSA16" s="279"/>
      <c r="BSB16" s="279"/>
      <c r="BSC16" s="279"/>
      <c r="BSD16" s="279"/>
      <c r="BSE16" s="279"/>
      <c r="BSF16" s="279"/>
      <c r="BSG16" s="279"/>
      <c r="BSH16" s="279"/>
      <c r="BSI16" s="279"/>
      <c r="BSJ16" s="279"/>
      <c r="BSK16" s="279"/>
      <c r="BSL16" s="279"/>
      <c r="BSM16" s="279"/>
      <c r="BSN16" s="279"/>
      <c r="BSO16" s="279"/>
      <c r="BSP16" s="279"/>
      <c r="BSQ16" s="279"/>
      <c r="BSR16" s="279"/>
      <c r="BSS16" s="279"/>
      <c r="BST16" s="279"/>
      <c r="BSU16" s="279"/>
      <c r="BSV16" s="279"/>
      <c r="BSW16" s="279"/>
      <c r="BSX16" s="279"/>
      <c r="BSY16" s="279"/>
      <c r="BSZ16" s="279"/>
      <c r="BTA16" s="279"/>
      <c r="BTB16" s="279"/>
      <c r="BTC16" s="279"/>
      <c r="BTD16" s="279"/>
      <c r="BTE16" s="279"/>
      <c r="BTF16" s="279"/>
      <c r="BTG16" s="279"/>
      <c r="BTH16" s="279"/>
      <c r="BTI16" s="279"/>
      <c r="BTJ16" s="279"/>
      <c r="BTK16" s="279"/>
      <c r="BTL16" s="279"/>
      <c r="BTM16" s="279"/>
      <c r="BTN16" s="279"/>
      <c r="BTO16" s="279"/>
      <c r="BTP16" s="279"/>
      <c r="BTQ16" s="279"/>
      <c r="BTR16" s="279"/>
      <c r="BTS16" s="279"/>
      <c r="BTT16" s="279"/>
      <c r="BTU16" s="279"/>
      <c r="BTV16" s="279"/>
      <c r="BTW16" s="279"/>
      <c r="BTX16" s="279"/>
      <c r="BTY16" s="279"/>
      <c r="BTZ16" s="279"/>
      <c r="BUA16" s="279"/>
      <c r="BUB16" s="279"/>
      <c r="BUC16" s="279"/>
      <c r="BUD16" s="279"/>
      <c r="BUE16" s="279"/>
      <c r="BUF16" s="279"/>
      <c r="BUG16" s="279"/>
      <c r="BUH16" s="279"/>
      <c r="BUI16" s="279"/>
      <c r="BUJ16" s="279"/>
      <c r="BUK16" s="279"/>
      <c r="BUL16" s="279"/>
      <c r="BUM16" s="279"/>
      <c r="BUN16" s="279"/>
      <c r="BUO16" s="279"/>
      <c r="BUP16" s="279"/>
      <c r="BUQ16" s="279"/>
      <c r="BUR16" s="279"/>
      <c r="BUS16" s="279"/>
      <c r="BUT16" s="279"/>
      <c r="BUU16" s="279"/>
      <c r="BUV16" s="279"/>
      <c r="BUW16" s="279"/>
      <c r="BUX16" s="279"/>
      <c r="BUY16" s="279"/>
      <c r="BUZ16" s="279"/>
      <c r="BVA16" s="279"/>
      <c r="BVB16" s="279"/>
      <c r="BVC16" s="279"/>
      <c r="BVD16" s="279"/>
      <c r="BVE16" s="279"/>
      <c r="BVF16" s="279"/>
      <c r="BVG16" s="279"/>
      <c r="BVH16" s="279"/>
      <c r="BVI16" s="279"/>
      <c r="BVJ16" s="279"/>
      <c r="BVK16" s="279"/>
      <c r="BVL16" s="279"/>
      <c r="BVM16" s="279"/>
      <c r="BVN16" s="279"/>
      <c r="BVO16" s="279"/>
      <c r="BVP16" s="279"/>
      <c r="BVQ16" s="279"/>
      <c r="BVR16" s="279"/>
      <c r="BVS16" s="279"/>
      <c r="BVT16" s="279"/>
      <c r="BVU16" s="279"/>
      <c r="BVV16" s="279"/>
      <c r="BVW16" s="279"/>
      <c r="BVX16" s="279"/>
      <c r="BVY16" s="279"/>
      <c r="BVZ16" s="279"/>
      <c r="BWA16" s="279"/>
      <c r="BWB16" s="279"/>
      <c r="BWC16" s="279"/>
      <c r="BWD16" s="279"/>
      <c r="BWE16" s="279"/>
      <c r="BWF16" s="279"/>
      <c r="BWG16" s="279"/>
      <c r="BWH16" s="279"/>
      <c r="BWI16" s="279"/>
      <c r="BWJ16" s="279"/>
      <c r="BWK16" s="279"/>
      <c r="BWL16" s="279"/>
      <c r="BWM16" s="279"/>
      <c r="BWN16" s="279"/>
      <c r="BWO16" s="279"/>
      <c r="BWP16" s="279"/>
      <c r="BWQ16" s="279"/>
      <c r="BWR16" s="279"/>
      <c r="BWS16" s="279"/>
      <c r="BWT16" s="279"/>
      <c r="BWU16" s="279"/>
      <c r="BWV16" s="279"/>
      <c r="BWW16" s="279"/>
      <c r="BWX16" s="279"/>
      <c r="BWY16" s="279"/>
      <c r="BWZ16" s="279"/>
      <c r="BXA16" s="279"/>
      <c r="BXB16" s="279"/>
      <c r="BXC16" s="279"/>
      <c r="BXD16" s="279"/>
      <c r="BXE16" s="279"/>
      <c r="BXF16" s="279"/>
      <c r="BXG16" s="279"/>
      <c r="BXH16" s="279"/>
      <c r="BXI16" s="279"/>
      <c r="BXJ16" s="279"/>
      <c r="BXK16" s="279"/>
      <c r="BXL16" s="279"/>
      <c r="BXM16" s="279"/>
      <c r="BXN16" s="279"/>
      <c r="BXO16" s="279"/>
      <c r="BXP16" s="279"/>
      <c r="BXQ16" s="279"/>
      <c r="BXR16" s="279"/>
      <c r="BXS16" s="279"/>
      <c r="BXT16" s="279"/>
      <c r="BXU16" s="279"/>
      <c r="BXV16" s="279"/>
      <c r="BXW16" s="279"/>
      <c r="BXX16" s="279"/>
      <c r="BXY16" s="279"/>
      <c r="BXZ16" s="279"/>
      <c r="BYA16" s="279"/>
      <c r="BYB16" s="279"/>
      <c r="BYC16" s="279"/>
      <c r="BYD16" s="279"/>
      <c r="BYE16" s="279"/>
      <c r="BYF16" s="279"/>
      <c r="BYG16" s="279"/>
      <c r="BYH16" s="279"/>
      <c r="BYI16" s="279"/>
      <c r="BYJ16" s="279"/>
      <c r="BYK16" s="279"/>
      <c r="BYL16" s="279"/>
      <c r="BYM16" s="279"/>
      <c r="BYN16" s="279"/>
      <c r="BYO16" s="279"/>
      <c r="BYP16" s="279"/>
      <c r="BYQ16" s="279"/>
      <c r="BYR16" s="279"/>
      <c r="BYS16" s="279"/>
      <c r="BYT16" s="279"/>
      <c r="BYU16" s="279"/>
      <c r="BYV16" s="279"/>
      <c r="BYW16" s="279"/>
      <c r="BYX16" s="279"/>
      <c r="BYY16" s="279"/>
      <c r="BYZ16" s="279"/>
      <c r="BZA16" s="279"/>
      <c r="BZB16" s="279"/>
      <c r="BZC16" s="279"/>
      <c r="BZD16" s="279"/>
      <c r="BZE16" s="279"/>
      <c r="BZF16" s="279"/>
      <c r="BZG16" s="279"/>
      <c r="BZH16" s="279"/>
      <c r="BZI16" s="279"/>
      <c r="BZJ16" s="279"/>
      <c r="BZK16" s="279"/>
      <c r="BZL16" s="279"/>
      <c r="BZM16" s="279"/>
      <c r="BZN16" s="279"/>
      <c r="BZO16" s="279"/>
      <c r="BZP16" s="279"/>
      <c r="BZQ16" s="279"/>
      <c r="BZR16" s="279"/>
      <c r="BZS16" s="279"/>
      <c r="BZT16" s="279"/>
      <c r="BZU16" s="279"/>
      <c r="BZV16" s="279"/>
      <c r="BZW16" s="279"/>
      <c r="BZX16" s="279"/>
      <c r="BZY16" s="279"/>
      <c r="BZZ16" s="279"/>
      <c r="CAA16" s="279"/>
      <c r="CAB16" s="279"/>
      <c r="CAC16" s="279"/>
      <c r="CAD16" s="279"/>
      <c r="CAE16" s="279"/>
      <c r="CAF16" s="279"/>
      <c r="CAG16" s="279"/>
      <c r="CAH16" s="279"/>
      <c r="CAI16" s="279"/>
      <c r="CAJ16" s="279"/>
      <c r="CAK16" s="279"/>
      <c r="CAL16" s="279"/>
      <c r="CAM16" s="279"/>
      <c r="CAN16" s="279"/>
      <c r="CAO16" s="279"/>
      <c r="CAP16" s="279"/>
      <c r="CAQ16" s="279"/>
      <c r="CAR16" s="279"/>
      <c r="CAS16" s="279"/>
      <c r="CAT16" s="279"/>
      <c r="CAU16" s="279"/>
      <c r="CAV16" s="279"/>
      <c r="CAW16" s="279"/>
      <c r="CAX16" s="279"/>
      <c r="CAY16" s="279"/>
      <c r="CAZ16" s="279"/>
      <c r="CBA16" s="279"/>
      <c r="CBB16" s="279"/>
      <c r="CBC16" s="279"/>
      <c r="CBD16" s="279"/>
      <c r="CBE16" s="279"/>
      <c r="CBF16" s="279"/>
      <c r="CBG16" s="279"/>
      <c r="CBH16" s="279"/>
      <c r="CBI16" s="279"/>
      <c r="CBJ16" s="279"/>
      <c r="CBK16" s="279"/>
      <c r="CBL16" s="279"/>
      <c r="CBM16" s="279"/>
      <c r="CBN16" s="279"/>
      <c r="CBO16" s="279"/>
      <c r="CBP16" s="279"/>
      <c r="CBQ16" s="279"/>
      <c r="CBR16" s="279"/>
      <c r="CBS16" s="279"/>
      <c r="CBT16" s="279"/>
      <c r="CBU16" s="279"/>
      <c r="CBV16" s="279"/>
      <c r="CBW16" s="279"/>
      <c r="CBX16" s="279"/>
      <c r="CBY16" s="279"/>
      <c r="CBZ16" s="279"/>
      <c r="CCA16" s="279"/>
      <c r="CCB16" s="279"/>
      <c r="CCC16" s="279"/>
      <c r="CCD16" s="279"/>
      <c r="CCE16" s="279"/>
      <c r="CCF16" s="279"/>
      <c r="CCG16" s="279"/>
      <c r="CCH16" s="279"/>
      <c r="CCI16" s="279"/>
      <c r="CCJ16" s="279"/>
      <c r="CCK16" s="279"/>
      <c r="CCL16" s="279"/>
      <c r="CCM16" s="279"/>
      <c r="CCN16" s="279"/>
      <c r="CCO16" s="279"/>
      <c r="CCP16" s="279"/>
      <c r="CCQ16" s="279"/>
      <c r="CCR16" s="279"/>
      <c r="CCS16" s="279"/>
      <c r="CCT16" s="279"/>
      <c r="CCU16" s="279"/>
      <c r="CCV16" s="279"/>
      <c r="CCW16" s="279"/>
      <c r="CCX16" s="279"/>
      <c r="CCY16" s="279"/>
      <c r="CCZ16" s="279"/>
      <c r="CDA16" s="279"/>
      <c r="CDB16" s="279"/>
      <c r="CDC16" s="279"/>
      <c r="CDD16" s="279"/>
      <c r="CDE16" s="279"/>
      <c r="CDF16" s="279"/>
      <c r="CDG16" s="279"/>
      <c r="CDH16" s="279"/>
      <c r="CDI16" s="279"/>
      <c r="CDJ16" s="279"/>
      <c r="CDK16" s="279"/>
      <c r="CDL16" s="279"/>
      <c r="CDM16" s="279"/>
      <c r="CDN16" s="279"/>
      <c r="CDO16" s="279"/>
      <c r="CDP16" s="279"/>
      <c r="CDQ16" s="279"/>
      <c r="CDR16" s="279"/>
      <c r="CDS16" s="279"/>
      <c r="CDT16" s="279"/>
      <c r="CDU16" s="279"/>
      <c r="CDV16" s="279"/>
      <c r="CDW16" s="279"/>
      <c r="CDX16" s="279"/>
      <c r="CDY16" s="279"/>
      <c r="CDZ16" s="279"/>
      <c r="CEA16" s="279"/>
      <c r="CEB16" s="279"/>
      <c r="CEC16" s="279"/>
      <c r="CED16" s="279"/>
      <c r="CEE16" s="279"/>
      <c r="CEF16" s="279"/>
      <c r="CEG16" s="279"/>
      <c r="CEH16" s="279"/>
      <c r="CEI16" s="279"/>
      <c r="CEJ16" s="279"/>
      <c r="CEK16" s="279"/>
      <c r="CEL16" s="279"/>
      <c r="CEM16" s="279"/>
      <c r="CEN16" s="279"/>
      <c r="CEO16" s="279"/>
      <c r="CEP16" s="279"/>
      <c r="CEQ16" s="279"/>
      <c r="CER16" s="279"/>
      <c r="CES16" s="279"/>
      <c r="CET16" s="279"/>
      <c r="CEU16" s="279"/>
      <c r="CEV16" s="279"/>
      <c r="CEW16" s="279"/>
      <c r="CEX16" s="279"/>
      <c r="CEY16" s="279"/>
      <c r="CEZ16" s="279"/>
      <c r="CFA16" s="279"/>
      <c r="CFB16" s="279"/>
      <c r="CFC16" s="279"/>
      <c r="CFD16" s="279"/>
      <c r="CFE16" s="279"/>
      <c r="CFF16" s="279"/>
      <c r="CFG16" s="279"/>
      <c r="CFH16" s="279"/>
      <c r="CFI16" s="279"/>
      <c r="CFJ16" s="279"/>
      <c r="CFK16" s="279"/>
      <c r="CFL16" s="279"/>
      <c r="CFM16" s="279"/>
      <c r="CFN16" s="279"/>
      <c r="CFO16" s="279"/>
      <c r="CFP16" s="279"/>
      <c r="CFQ16" s="279"/>
      <c r="CFR16" s="279"/>
      <c r="CFS16" s="279"/>
      <c r="CFT16" s="279"/>
      <c r="CFU16" s="279"/>
      <c r="CFV16" s="279"/>
      <c r="CFW16" s="279"/>
      <c r="CFX16" s="279"/>
      <c r="CFY16" s="279"/>
      <c r="CFZ16" s="279"/>
      <c r="CGA16" s="279"/>
      <c r="CGB16" s="279"/>
      <c r="CGC16" s="279"/>
      <c r="CGD16" s="279"/>
      <c r="CGE16" s="279"/>
      <c r="CGF16" s="279"/>
      <c r="CGG16" s="279"/>
      <c r="CGH16" s="279"/>
      <c r="CGI16" s="279"/>
      <c r="CGJ16" s="279"/>
      <c r="CGK16" s="279"/>
      <c r="CGL16" s="279"/>
      <c r="CGM16" s="279"/>
      <c r="CGN16" s="279"/>
      <c r="CGO16" s="279"/>
      <c r="CGP16" s="279"/>
      <c r="CGQ16" s="279"/>
      <c r="CGR16" s="279"/>
      <c r="CGS16" s="279"/>
      <c r="CGT16" s="279"/>
      <c r="CGU16" s="279"/>
      <c r="CGV16" s="279"/>
      <c r="CGW16" s="279"/>
      <c r="CGX16" s="279"/>
      <c r="CGY16" s="279"/>
      <c r="CGZ16" s="279"/>
      <c r="CHA16" s="279"/>
      <c r="CHB16" s="279"/>
      <c r="CHC16" s="279"/>
      <c r="CHD16" s="279"/>
      <c r="CHE16" s="279"/>
      <c r="CHF16" s="279"/>
      <c r="CHG16" s="279"/>
      <c r="CHH16" s="279"/>
      <c r="CHI16" s="279"/>
      <c r="CHJ16" s="279"/>
      <c r="CHK16" s="279"/>
      <c r="CHL16" s="279"/>
      <c r="CHM16" s="279"/>
      <c r="CHN16" s="279"/>
      <c r="CHO16" s="279"/>
      <c r="CHP16" s="279"/>
      <c r="CHQ16" s="279"/>
      <c r="CHR16" s="279"/>
      <c r="CHS16" s="279"/>
      <c r="CHT16" s="279"/>
      <c r="CHU16" s="279"/>
      <c r="CHV16" s="279"/>
      <c r="CHW16" s="279"/>
      <c r="CHX16" s="279"/>
      <c r="CHY16" s="279"/>
      <c r="CHZ16" s="279"/>
      <c r="CIA16" s="279"/>
      <c r="CIB16" s="279"/>
      <c r="CIC16" s="279"/>
      <c r="CID16" s="279"/>
      <c r="CIE16" s="279"/>
      <c r="CIF16" s="279"/>
      <c r="CIG16" s="279"/>
      <c r="CIH16" s="279"/>
      <c r="CII16" s="279"/>
      <c r="CIJ16" s="279"/>
      <c r="CIK16" s="279"/>
      <c r="CIL16" s="279"/>
      <c r="CIM16" s="279"/>
      <c r="CIN16" s="279"/>
      <c r="CIO16" s="279"/>
      <c r="CIP16" s="279"/>
      <c r="CIQ16" s="279"/>
      <c r="CIR16" s="279"/>
      <c r="CIS16" s="279"/>
      <c r="CIT16" s="279"/>
      <c r="CIU16" s="279"/>
      <c r="CIV16" s="279"/>
      <c r="CIW16" s="279"/>
      <c r="CIX16" s="279"/>
      <c r="CIY16" s="279"/>
      <c r="CIZ16" s="279"/>
      <c r="CJA16" s="279"/>
      <c r="CJB16" s="279"/>
      <c r="CJC16" s="279"/>
      <c r="CJD16" s="279"/>
      <c r="CJE16" s="279"/>
      <c r="CJF16" s="279"/>
      <c r="CJG16" s="279"/>
      <c r="CJH16" s="279"/>
      <c r="CJI16" s="279"/>
      <c r="CJJ16" s="279"/>
      <c r="CJK16" s="279"/>
      <c r="CJL16" s="279"/>
      <c r="CJM16" s="279"/>
      <c r="CJN16" s="279"/>
      <c r="CJO16" s="279"/>
      <c r="CJP16" s="279"/>
      <c r="CJQ16" s="279"/>
      <c r="CJR16" s="279"/>
      <c r="CJS16" s="279"/>
      <c r="CJT16" s="279"/>
      <c r="CJU16" s="279"/>
      <c r="CJV16" s="279"/>
      <c r="CJW16" s="279"/>
      <c r="CJX16" s="279"/>
      <c r="CJY16" s="279"/>
      <c r="CJZ16" s="279"/>
      <c r="CKA16" s="279"/>
      <c r="CKB16" s="279"/>
      <c r="CKC16" s="279"/>
      <c r="CKD16" s="279"/>
      <c r="CKE16" s="279"/>
      <c r="CKF16" s="279"/>
      <c r="CKG16" s="279"/>
      <c r="CKH16" s="279"/>
      <c r="CKI16" s="279"/>
      <c r="CKJ16" s="279"/>
      <c r="CKK16" s="279"/>
      <c r="CKL16" s="279"/>
      <c r="CKM16" s="279"/>
      <c r="CKN16" s="279"/>
      <c r="CKO16" s="279"/>
      <c r="CKP16" s="279"/>
      <c r="CKQ16" s="279"/>
      <c r="CKR16" s="279"/>
      <c r="CKS16" s="279"/>
      <c r="CKT16" s="279"/>
      <c r="CKU16" s="279"/>
      <c r="CKV16" s="279"/>
      <c r="CKW16" s="279"/>
      <c r="CKX16" s="279"/>
      <c r="CKY16" s="279"/>
      <c r="CKZ16" s="279"/>
      <c r="CLA16" s="279"/>
      <c r="CLB16" s="279"/>
      <c r="CLC16" s="279"/>
      <c r="CLD16" s="279"/>
      <c r="CLE16" s="279"/>
      <c r="CLF16" s="279"/>
      <c r="CLG16" s="279"/>
      <c r="CLH16" s="279"/>
      <c r="CLI16" s="279"/>
      <c r="CLJ16" s="279"/>
      <c r="CLK16" s="279"/>
      <c r="CLL16" s="279"/>
      <c r="CLM16" s="279"/>
      <c r="CLN16" s="279"/>
      <c r="CLO16" s="279"/>
      <c r="CLP16" s="279"/>
      <c r="CLQ16" s="279"/>
      <c r="CLR16" s="279"/>
      <c r="CLS16" s="279"/>
      <c r="CLT16" s="279"/>
      <c r="CLU16" s="279"/>
      <c r="CLV16" s="279"/>
      <c r="CLW16" s="279"/>
      <c r="CLX16" s="279"/>
      <c r="CLY16" s="279"/>
      <c r="CLZ16" s="279"/>
      <c r="CMA16" s="279"/>
      <c r="CMB16" s="279"/>
      <c r="CMC16" s="279"/>
      <c r="CMD16" s="279"/>
      <c r="CME16" s="279"/>
      <c r="CMF16" s="279"/>
      <c r="CMG16" s="279"/>
      <c r="CMH16" s="279"/>
      <c r="CMI16" s="279"/>
      <c r="CMJ16" s="279"/>
      <c r="CMK16" s="279"/>
      <c r="CML16" s="279"/>
      <c r="CMM16" s="279"/>
      <c r="CMN16" s="279"/>
      <c r="CMO16" s="279"/>
      <c r="CMP16" s="279"/>
      <c r="CMQ16" s="279"/>
      <c r="CMR16" s="279"/>
      <c r="CMS16" s="279"/>
      <c r="CMT16" s="279"/>
      <c r="CMU16" s="279"/>
      <c r="CMV16" s="279"/>
      <c r="CMW16" s="279"/>
      <c r="CMX16" s="279"/>
      <c r="CMY16" s="279"/>
      <c r="CMZ16" s="279"/>
      <c r="CNA16" s="279"/>
      <c r="CNB16" s="279"/>
      <c r="CNC16" s="279"/>
      <c r="CND16" s="279"/>
      <c r="CNE16" s="279"/>
      <c r="CNF16" s="279"/>
      <c r="CNG16" s="279"/>
      <c r="CNH16" s="279"/>
      <c r="CNI16" s="279"/>
      <c r="CNJ16" s="279"/>
      <c r="CNK16" s="279"/>
      <c r="CNL16" s="279"/>
      <c r="CNM16" s="279"/>
      <c r="CNN16" s="279"/>
      <c r="CNO16" s="279"/>
      <c r="CNP16" s="279"/>
      <c r="CNQ16" s="279"/>
      <c r="CNR16" s="279"/>
      <c r="CNS16" s="279"/>
      <c r="CNT16" s="279"/>
      <c r="CNU16" s="279"/>
      <c r="CNV16" s="279"/>
      <c r="CNW16" s="279"/>
      <c r="CNX16" s="279"/>
      <c r="CNY16" s="279"/>
      <c r="CNZ16" s="279"/>
      <c r="COA16" s="279"/>
      <c r="COB16" s="279"/>
      <c r="COC16" s="279"/>
      <c r="COD16" s="279"/>
      <c r="COE16" s="279"/>
      <c r="COF16" s="279"/>
      <c r="COG16" s="279"/>
      <c r="COH16" s="279"/>
      <c r="COI16" s="279"/>
      <c r="COJ16" s="279"/>
      <c r="COK16" s="279"/>
      <c r="COL16" s="279"/>
      <c r="COM16" s="279"/>
      <c r="CON16" s="279"/>
      <c r="COO16" s="279"/>
      <c r="COP16" s="279"/>
      <c r="COQ16" s="279"/>
      <c r="COR16" s="279"/>
      <c r="COS16" s="279"/>
      <c r="COT16" s="279"/>
      <c r="COU16" s="279"/>
      <c r="COV16" s="279"/>
      <c r="COW16" s="279"/>
      <c r="COX16" s="279"/>
      <c r="COY16" s="279"/>
      <c r="COZ16" s="279"/>
      <c r="CPA16" s="279"/>
      <c r="CPB16" s="279"/>
      <c r="CPC16" s="279"/>
      <c r="CPD16" s="279"/>
      <c r="CPE16" s="279"/>
      <c r="CPF16" s="279"/>
      <c r="CPG16" s="279"/>
      <c r="CPH16" s="279"/>
      <c r="CPI16" s="279"/>
      <c r="CPJ16" s="279"/>
      <c r="CPK16" s="279"/>
      <c r="CPL16" s="279"/>
      <c r="CPM16" s="279"/>
      <c r="CPN16" s="279"/>
      <c r="CPO16" s="279"/>
      <c r="CPP16" s="279"/>
      <c r="CPQ16" s="279"/>
      <c r="CPR16" s="279"/>
      <c r="CPS16" s="279"/>
      <c r="CPT16" s="279"/>
      <c r="CPU16" s="279"/>
      <c r="CPV16" s="279"/>
      <c r="CPW16" s="279"/>
      <c r="CPX16" s="279"/>
      <c r="CPY16" s="279"/>
      <c r="CPZ16" s="279"/>
      <c r="CQA16" s="279"/>
      <c r="CQB16" s="279"/>
      <c r="CQC16" s="279"/>
      <c r="CQD16" s="279"/>
      <c r="CQE16" s="279"/>
      <c r="CQF16" s="279"/>
      <c r="CQG16" s="279"/>
      <c r="CQH16" s="279"/>
      <c r="CQI16" s="279"/>
      <c r="CQJ16" s="279"/>
      <c r="CQK16" s="279"/>
      <c r="CQL16" s="279"/>
      <c r="CQM16" s="279"/>
      <c r="CQN16" s="279"/>
      <c r="CQO16" s="279"/>
      <c r="CQP16" s="279"/>
      <c r="CQQ16" s="279"/>
      <c r="CQR16" s="279"/>
      <c r="CQS16" s="279"/>
      <c r="CQT16" s="279"/>
      <c r="CQU16" s="279"/>
      <c r="CQV16" s="279"/>
      <c r="CQW16" s="279"/>
      <c r="CQX16" s="279"/>
      <c r="CQY16" s="279"/>
      <c r="CQZ16" s="279"/>
      <c r="CRA16" s="279"/>
      <c r="CRB16" s="279"/>
      <c r="CRC16" s="279"/>
      <c r="CRD16" s="279"/>
      <c r="CRE16" s="279"/>
      <c r="CRF16" s="279"/>
      <c r="CRG16" s="279"/>
      <c r="CRH16" s="279"/>
      <c r="CRI16" s="279"/>
      <c r="CRJ16" s="279"/>
      <c r="CRK16" s="279"/>
      <c r="CRL16" s="279"/>
      <c r="CRM16" s="279"/>
      <c r="CRN16" s="279"/>
      <c r="CRO16" s="279"/>
      <c r="CRP16" s="279"/>
      <c r="CRQ16" s="279"/>
      <c r="CRR16" s="279"/>
      <c r="CRS16" s="279"/>
      <c r="CRT16" s="279"/>
      <c r="CRU16" s="279"/>
      <c r="CRV16" s="279"/>
      <c r="CRW16" s="279"/>
      <c r="CRX16" s="279"/>
      <c r="CRY16" s="279"/>
      <c r="CRZ16" s="279"/>
      <c r="CSA16" s="279"/>
      <c r="CSB16" s="279"/>
      <c r="CSC16" s="279"/>
      <c r="CSD16" s="279"/>
      <c r="CSE16" s="279"/>
      <c r="CSF16" s="279"/>
      <c r="CSG16" s="279"/>
      <c r="CSH16" s="279"/>
      <c r="CSI16" s="279"/>
      <c r="CSJ16" s="279"/>
      <c r="CSK16" s="279"/>
      <c r="CSL16" s="279"/>
      <c r="CSM16" s="279"/>
      <c r="CSN16" s="279"/>
      <c r="CSO16" s="279"/>
      <c r="CSP16" s="279"/>
      <c r="CSQ16" s="279"/>
      <c r="CSR16" s="279"/>
      <c r="CSS16" s="279"/>
      <c r="CST16" s="279"/>
      <c r="CSU16" s="279"/>
      <c r="CSV16" s="279"/>
      <c r="CSW16" s="279"/>
      <c r="CSX16" s="279"/>
      <c r="CSY16" s="279"/>
      <c r="CSZ16" s="279"/>
      <c r="CTA16" s="279"/>
      <c r="CTB16" s="279"/>
      <c r="CTC16" s="279"/>
      <c r="CTD16" s="279"/>
      <c r="CTE16" s="279"/>
      <c r="CTF16" s="279"/>
      <c r="CTG16" s="279"/>
      <c r="CTH16" s="279"/>
      <c r="CTI16" s="279"/>
      <c r="CTJ16" s="279"/>
      <c r="CTK16" s="279"/>
      <c r="CTL16" s="279"/>
      <c r="CTM16" s="279"/>
      <c r="CTN16" s="279"/>
      <c r="CTO16" s="279"/>
      <c r="CTP16" s="279"/>
      <c r="CTQ16" s="279"/>
      <c r="CTR16" s="279"/>
      <c r="CTS16" s="279"/>
      <c r="CTT16" s="279"/>
      <c r="CTU16" s="279"/>
      <c r="CTV16" s="279"/>
      <c r="CTW16" s="279"/>
      <c r="CTX16" s="279"/>
      <c r="CTY16" s="279"/>
      <c r="CTZ16" s="279"/>
      <c r="CUA16" s="279"/>
      <c r="CUB16" s="279"/>
      <c r="CUC16" s="279"/>
      <c r="CUD16" s="279"/>
      <c r="CUE16" s="279"/>
      <c r="CUF16" s="279"/>
      <c r="CUG16" s="279"/>
      <c r="CUH16" s="279"/>
      <c r="CUI16" s="279"/>
      <c r="CUJ16" s="279"/>
      <c r="CUK16" s="279"/>
      <c r="CUL16" s="279"/>
      <c r="CUM16" s="279"/>
      <c r="CUN16" s="279"/>
      <c r="CUO16" s="279"/>
      <c r="CUP16" s="279"/>
      <c r="CUQ16" s="279"/>
      <c r="CUR16" s="279"/>
      <c r="CUS16" s="279"/>
      <c r="CUT16" s="279"/>
      <c r="CUU16" s="279"/>
      <c r="CUV16" s="279"/>
      <c r="CUW16" s="279"/>
      <c r="CUX16" s="279"/>
      <c r="CUY16" s="279"/>
      <c r="CUZ16" s="279"/>
      <c r="CVA16" s="279"/>
      <c r="CVB16" s="279"/>
      <c r="CVC16" s="279"/>
      <c r="CVD16" s="279"/>
      <c r="CVE16" s="279"/>
      <c r="CVF16" s="279"/>
      <c r="CVG16" s="279"/>
      <c r="CVH16" s="279"/>
      <c r="CVI16" s="279"/>
      <c r="CVJ16" s="279"/>
      <c r="CVK16" s="279"/>
      <c r="CVL16" s="279"/>
      <c r="CVM16" s="279"/>
      <c r="CVN16" s="279"/>
      <c r="CVO16" s="279"/>
      <c r="CVP16" s="279"/>
      <c r="CVQ16" s="279"/>
      <c r="CVR16" s="279"/>
      <c r="CVS16" s="279"/>
      <c r="CVT16" s="279"/>
      <c r="CVU16" s="279"/>
      <c r="CVV16" s="279"/>
      <c r="CVW16" s="279"/>
      <c r="CVX16" s="279"/>
      <c r="CVY16" s="279"/>
      <c r="CVZ16" s="279"/>
      <c r="CWA16" s="279"/>
      <c r="CWB16" s="279"/>
      <c r="CWC16" s="279"/>
      <c r="CWD16" s="279"/>
      <c r="CWE16" s="279"/>
      <c r="CWF16" s="279"/>
      <c r="CWG16" s="279"/>
      <c r="CWH16" s="279"/>
      <c r="CWI16" s="279"/>
      <c r="CWJ16" s="279"/>
      <c r="CWK16" s="279"/>
      <c r="CWL16" s="279"/>
      <c r="CWM16" s="279"/>
      <c r="CWN16" s="279"/>
      <c r="CWO16" s="279"/>
      <c r="CWP16" s="279"/>
      <c r="CWQ16" s="279"/>
      <c r="CWR16" s="279"/>
      <c r="CWS16" s="279"/>
      <c r="CWT16" s="279"/>
      <c r="CWU16" s="279"/>
      <c r="CWV16" s="279"/>
      <c r="CWW16" s="279"/>
      <c r="CWX16" s="279"/>
      <c r="CWY16" s="279"/>
      <c r="CWZ16" s="279"/>
      <c r="CXA16" s="279"/>
      <c r="CXB16" s="279"/>
      <c r="CXC16" s="279"/>
      <c r="CXD16" s="279"/>
      <c r="CXE16" s="279"/>
      <c r="CXF16" s="279"/>
      <c r="CXG16" s="279"/>
      <c r="CXH16" s="279"/>
      <c r="CXI16" s="279"/>
      <c r="CXJ16" s="279"/>
      <c r="CXK16" s="279"/>
      <c r="CXL16" s="279"/>
      <c r="CXM16" s="279"/>
      <c r="CXN16" s="279"/>
      <c r="CXO16" s="279"/>
      <c r="CXP16" s="279"/>
      <c r="CXQ16" s="279"/>
      <c r="CXR16" s="279"/>
      <c r="CXS16" s="279"/>
      <c r="CXT16" s="279"/>
      <c r="CXU16" s="279"/>
      <c r="CXV16" s="279"/>
      <c r="CXW16" s="279"/>
      <c r="CXX16" s="279"/>
      <c r="CXY16" s="279"/>
      <c r="CXZ16" s="279"/>
      <c r="CYA16" s="279"/>
      <c r="CYB16" s="279"/>
      <c r="CYC16" s="279"/>
      <c r="CYD16" s="279"/>
      <c r="CYE16" s="279"/>
      <c r="CYF16" s="279"/>
      <c r="CYG16" s="279"/>
      <c r="CYH16" s="279"/>
      <c r="CYI16" s="279"/>
      <c r="CYJ16" s="279"/>
      <c r="CYK16" s="279"/>
      <c r="CYL16" s="279"/>
      <c r="CYM16" s="279"/>
      <c r="CYN16" s="279"/>
      <c r="CYO16" s="279"/>
      <c r="CYP16" s="279"/>
      <c r="CYQ16" s="279"/>
      <c r="CYR16" s="279"/>
      <c r="CYS16" s="279"/>
      <c r="CYT16" s="279"/>
      <c r="CYU16" s="279"/>
      <c r="CYV16" s="279"/>
      <c r="CYW16" s="279"/>
      <c r="CYX16" s="279"/>
      <c r="CYY16" s="279"/>
      <c r="CYZ16" s="279"/>
      <c r="CZA16" s="279"/>
      <c r="CZB16" s="279"/>
      <c r="CZC16" s="279"/>
      <c r="CZD16" s="279"/>
      <c r="CZE16" s="279"/>
      <c r="CZF16" s="279"/>
      <c r="CZG16" s="279"/>
      <c r="CZH16" s="279"/>
      <c r="CZI16" s="279"/>
      <c r="CZJ16" s="279"/>
      <c r="CZK16" s="279"/>
      <c r="CZL16" s="279"/>
      <c r="CZM16" s="279"/>
      <c r="CZN16" s="279"/>
      <c r="CZO16" s="279"/>
      <c r="CZP16" s="279"/>
      <c r="CZQ16" s="279"/>
      <c r="CZR16" s="279"/>
      <c r="CZS16" s="279"/>
      <c r="CZT16" s="279"/>
      <c r="CZU16" s="279"/>
      <c r="CZV16" s="279"/>
      <c r="CZW16" s="279"/>
      <c r="CZX16" s="279"/>
      <c r="CZY16" s="279"/>
      <c r="CZZ16" s="279"/>
      <c r="DAA16" s="279"/>
      <c r="DAB16" s="279"/>
      <c r="DAC16" s="279"/>
      <c r="DAD16" s="279"/>
      <c r="DAE16" s="279"/>
      <c r="DAF16" s="279"/>
      <c r="DAG16" s="279"/>
      <c r="DAH16" s="279"/>
      <c r="DAI16" s="279"/>
      <c r="DAJ16" s="279"/>
      <c r="DAK16" s="279"/>
      <c r="DAL16" s="279"/>
      <c r="DAM16" s="279"/>
      <c r="DAN16" s="279"/>
      <c r="DAO16" s="279"/>
      <c r="DAP16" s="279"/>
      <c r="DAQ16" s="279"/>
      <c r="DAR16" s="279"/>
      <c r="DAS16" s="279"/>
      <c r="DAT16" s="279"/>
      <c r="DAU16" s="279"/>
      <c r="DAV16" s="279"/>
      <c r="DAW16" s="279"/>
      <c r="DAX16" s="279"/>
      <c r="DAY16" s="279"/>
      <c r="DAZ16" s="279"/>
      <c r="DBA16" s="279"/>
      <c r="DBB16" s="279"/>
      <c r="DBC16" s="279"/>
      <c r="DBD16" s="279"/>
      <c r="DBE16" s="279"/>
      <c r="DBF16" s="279"/>
      <c r="DBG16" s="279"/>
      <c r="DBH16" s="279"/>
      <c r="DBI16" s="279"/>
      <c r="DBJ16" s="279"/>
      <c r="DBK16" s="279"/>
      <c r="DBL16" s="279"/>
      <c r="DBM16" s="279"/>
      <c r="DBN16" s="279"/>
      <c r="DBO16" s="279"/>
      <c r="DBP16" s="279"/>
      <c r="DBQ16" s="279"/>
      <c r="DBR16" s="279"/>
      <c r="DBS16" s="279"/>
      <c r="DBT16" s="279"/>
      <c r="DBU16" s="279"/>
      <c r="DBV16" s="279"/>
      <c r="DBW16" s="279"/>
      <c r="DBX16" s="279"/>
      <c r="DBY16" s="279"/>
      <c r="DBZ16" s="279"/>
      <c r="DCA16" s="279"/>
      <c r="DCB16" s="279"/>
      <c r="DCC16" s="279"/>
      <c r="DCD16" s="279"/>
      <c r="DCE16" s="279"/>
      <c r="DCF16" s="279"/>
      <c r="DCG16" s="279"/>
      <c r="DCH16" s="279"/>
      <c r="DCI16" s="279"/>
      <c r="DCJ16" s="279"/>
      <c r="DCK16" s="279"/>
      <c r="DCL16" s="279"/>
      <c r="DCM16" s="279"/>
      <c r="DCN16" s="279"/>
      <c r="DCO16" s="279"/>
      <c r="DCP16" s="279"/>
      <c r="DCQ16" s="279"/>
      <c r="DCR16" s="279"/>
      <c r="DCS16" s="279"/>
      <c r="DCT16" s="279"/>
      <c r="DCU16" s="279"/>
      <c r="DCV16" s="279"/>
      <c r="DCW16" s="279"/>
      <c r="DCX16" s="279"/>
      <c r="DCY16" s="279"/>
      <c r="DCZ16" s="279"/>
      <c r="DDA16" s="279"/>
      <c r="DDB16" s="279"/>
      <c r="DDC16" s="279"/>
      <c r="DDD16" s="279"/>
      <c r="DDE16" s="279"/>
      <c r="DDF16" s="279"/>
      <c r="DDG16" s="279"/>
      <c r="DDH16" s="279"/>
      <c r="DDI16" s="279"/>
      <c r="DDJ16" s="279"/>
      <c r="DDK16" s="279"/>
      <c r="DDL16" s="279"/>
      <c r="DDM16" s="279"/>
      <c r="DDN16" s="279"/>
      <c r="DDO16" s="279"/>
      <c r="DDP16" s="279"/>
      <c r="DDQ16" s="279"/>
      <c r="DDR16" s="279"/>
      <c r="DDS16" s="279"/>
      <c r="DDT16" s="279"/>
      <c r="DDU16" s="279"/>
      <c r="DDV16" s="279"/>
      <c r="DDW16" s="279"/>
      <c r="DDX16" s="279"/>
      <c r="DDY16" s="279"/>
      <c r="DDZ16" s="279"/>
      <c r="DEA16" s="279"/>
      <c r="DEB16" s="279"/>
      <c r="DEC16" s="279"/>
      <c r="DED16" s="279"/>
      <c r="DEE16" s="279"/>
      <c r="DEF16" s="279"/>
      <c r="DEG16" s="279"/>
      <c r="DEH16" s="279"/>
      <c r="DEI16" s="279"/>
      <c r="DEJ16" s="279"/>
      <c r="DEK16" s="279"/>
      <c r="DEL16" s="279"/>
      <c r="DEM16" s="279"/>
      <c r="DEN16" s="279"/>
      <c r="DEO16" s="279"/>
      <c r="DEP16" s="279"/>
      <c r="DEQ16" s="279"/>
      <c r="DER16" s="279"/>
      <c r="DES16" s="279"/>
      <c r="DET16" s="279"/>
      <c r="DEU16" s="279"/>
      <c r="DEV16" s="279"/>
      <c r="DEW16" s="279"/>
      <c r="DEX16" s="279"/>
      <c r="DEY16" s="279"/>
      <c r="DEZ16" s="279"/>
      <c r="DFA16" s="279"/>
      <c r="DFB16" s="279"/>
      <c r="DFC16" s="279"/>
      <c r="DFD16" s="279"/>
      <c r="DFE16" s="279"/>
      <c r="DFF16" s="279"/>
      <c r="DFG16" s="279"/>
      <c r="DFH16" s="279"/>
      <c r="DFI16" s="279"/>
      <c r="DFJ16" s="279"/>
      <c r="DFK16" s="279"/>
      <c r="DFL16" s="279"/>
      <c r="DFM16" s="279"/>
      <c r="DFN16" s="279"/>
      <c r="DFO16" s="279"/>
      <c r="DFP16" s="279"/>
      <c r="DFQ16" s="279"/>
      <c r="DFR16" s="279"/>
      <c r="DFS16" s="279"/>
      <c r="DFT16" s="279"/>
      <c r="DFU16" s="279"/>
      <c r="DFV16" s="279"/>
      <c r="DFW16" s="279"/>
      <c r="DFX16" s="279"/>
      <c r="DFY16" s="279"/>
      <c r="DFZ16" s="279"/>
      <c r="DGA16" s="279"/>
      <c r="DGB16" s="279"/>
      <c r="DGC16" s="279"/>
      <c r="DGD16" s="279"/>
      <c r="DGE16" s="279"/>
      <c r="DGF16" s="279"/>
      <c r="DGG16" s="279"/>
      <c r="DGH16" s="279"/>
      <c r="DGI16" s="279"/>
      <c r="DGJ16" s="279"/>
      <c r="DGK16" s="279"/>
      <c r="DGL16" s="279"/>
      <c r="DGM16" s="279"/>
      <c r="DGN16" s="279"/>
      <c r="DGO16" s="279"/>
      <c r="DGP16" s="279"/>
      <c r="DGQ16" s="279"/>
      <c r="DGR16" s="279"/>
      <c r="DGS16" s="279"/>
      <c r="DGT16" s="279"/>
      <c r="DGU16" s="279"/>
      <c r="DGV16" s="279"/>
      <c r="DGW16" s="279"/>
      <c r="DGX16" s="279"/>
      <c r="DGY16" s="279"/>
      <c r="DGZ16" s="279"/>
      <c r="DHA16" s="279"/>
      <c r="DHB16" s="279"/>
      <c r="DHC16" s="279"/>
      <c r="DHD16" s="279"/>
      <c r="DHE16" s="279"/>
      <c r="DHF16" s="279"/>
      <c r="DHG16" s="279"/>
      <c r="DHH16" s="279"/>
      <c r="DHI16" s="279"/>
      <c r="DHJ16" s="279"/>
      <c r="DHK16" s="279"/>
      <c r="DHL16" s="279"/>
      <c r="DHM16" s="279"/>
      <c r="DHN16" s="279"/>
      <c r="DHO16" s="279"/>
      <c r="DHP16" s="279"/>
      <c r="DHQ16" s="279"/>
      <c r="DHR16" s="279"/>
      <c r="DHS16" s="279"/>
      <c r="DHT16" s="279"/>
      <c r="DHU16" s="279"/>
      <c r="DHV16" s="279"/>
      <c r="DHW16" s="279"/>
      <c r="DHX16" s="279"/>
      <c r="DHY16" s="279"/>
      <c r="DHZ16" s="279"/>
      <c r="DIA16" s="279"/>
      <c r="DIB16" s="279"/>
      <c r="DIC16" s="279"/>
      <c r="DID16" s="279"/>
      <c r="DIE16" s="279"/>
      <c r="DIF16" s="279"/>
      <c r="DIG16" s="279"/>
      <c r="DIH16" s="279"/>
      <c r="DII16" s="279"/>
      <c r="DIJ16" s="279"/>
      <c r="DIK16" s="279"/>
      <c r="DIL16" s="279"/>
      <c r="DIM16" s="279"/>
      <c r="DIN16" s="279"/>
      <c r="DIO16" s="279"/>
      <c r="DIP16" s="279"/>
      <c r="DIQ16" s="279"/>
      <c r="DIR16" s="279"/>
      <c r="DIS16" s="279"/>
      <c r="DIT16" s="279"/>
      <c r="DIU16" s="279"/>
      <c r="DIV16" s="279"/>
      <c r="DIW16" s="279"/>
      <c r="DIX16" s="279"/>
      <c r="DIY16" s="279"/>
      <c r="DIZ16" s="279"/>
      <c r="DJA16" s="279"/>
      <c r="DJB16" s="279"/>
      <c r="DJC16" s="279"/>
      <c r="DJD16" s="279"/>
      <c r="DJE16" s="279"/>
      <c r="DJF16" s="279"/>
      <c r="DJG16" s="279"/>
      <c r="DJH16" s="279"/>
      <c r="DJI16" s="279"/>
      <c r="DJJ16" s="279"/>
      <c r="DJK16" s="279"/>
      <c r="DJL16" s="279"/>
      <c r="DJM16" s="279"/>
      <c r="DJN16" s="279"/>
      <c r="DJO16" s="279"/>
      <c r="DJP16" s="279"/>
      <c r="DJQ16" s="279"/>
      <c r="DJR16" s="279"/>
      <c r="DJS16" s="279"/>
      <c r="DJT16" s="279"/>
      <c r="DJU16" s="279"/>
      <c r="DJV16" s="279"/>
      <c r="DJW16" s="279"/>
      <c r="DJX16" s="279"/>
      <c r="DJY16" s="279"/>
      <c r="DJZ16" s="279"/>
      <c r="DKA16" s="279"/>
      <c r="DKB16" s="279"/>
      <c r="DKC16" s="279"/>
      <c r="DKD16" s="279"/>
      <c r="DKE16" s="279"/>
      <c r="DKF16" s="279"/>
      <c r="DKG16" s="279"/>
      <c r="DKH16" s="279"/>
      <c r="DKI16" s="279"/>
      <c r="DKJ16" s="279"/>
      <c r="DKK16" s="279"/>
      <c r="DKL16" s="279"/>
      <c r="DKM16" s="279"/>
      <c r="DKN16" s="279"/>
      <c r="DKO16" s="279"/>
      <c r="DKP16" s="279"/>
      <c r="DKQ16" s="279"/>
      <c r="DKR16" s="279"/>
      <c r="DKS16" s="279"/>
      <c r="DKT16" s="279"/>
      <c r="DKU16" s="279"/>
      <c r="DKV16" s="279"/>
      <c r="DKW16" s="279"/>
      <c r="DKX16" s="279"/>
      <c r="DKY16" s="279"/>
      <c r="DKZ16" s="279"/>
      <c r="DLA16" s="279"/>
      <c r="DLB16" s="279"/>
      <c r="DLC16" s="279"/>
      <c r="DLD16" s="279"/>
      <c r="DLE16" s="279"/>
      <c r="DLF16" s="279"/>
      <c r="DLG16" s="279"/>
      <c r="DLH16" s="279"/>
      <c r="DLI16" s="279"/>
      <c r="DLJ16" s="279"/>
      <c r="DLK16" s="279"/>
      <c r="DLL16" s="279"/>
      <c r="DLM16" s="279"/>
      <c r="DLN16" s="279"/>
      <c r="DLO16" s="279"/>
      <c r="DLP16" s="279"/>
      <c r="DLQ16" s="279"/>
      <c r="DLR16" s="279"/>
      <c r="DLS16" s="279"/>
      <c r="DLT16" s="279"/>
      <c r="DLU16" s="279"/>
      <c r="DLV16" s="279"/>
      <c r="DLW16" s="279"/>
      <c r="DLX16" s="279"/>
      <c r="DLY16" s="279"/>
      <c r="DLZ16" s="279"/>
      <c r="DMA16" s="279"/>
      <c r="DMB16" s="279"/>
      <c r="DMC16" s="279"/>
      <c r="DMD16" s="279"/>
      <c r="DME16" s="279"/>
      <c r="DMF16" s="279"/>
      <c r="DMG16" s="279"/>
      <c r="DMH16" s="279"/>
      <c r="DMI16" s="279"/>
      <c r="DMJ16" s="279"/>
      <c r="DMK16" s="279"/>
      <c r="DML16" s="279"/>
      <c r="DMM16" s="279"/>
      <c r="DMN16" s="279"/>
      <c r="DMO16" s="279"/>
      <c r="DMP16" s="279"/>
      <c r="DMQ16" s="279"/>
      <c r="DMR16" s="279"/>
      <c r="DMS16" s="279"/>
      <c r="DMT16" s="279"/>
      <c r="DMU16" s="279"/>
      <c r="DMV16" s="279"/>
      <c r="DMW16" s="279"/>
      <c r="DMX16" s="279"/>
      <c r="DMY16" s="279"/>
      <c r="DMZ16" s="279"/>
      <c r="DNA16" s="279"/>
      <c r="DNB16" s="279"/>
      <c r="DNC16" s="279"/>
      <c r="DND16" s="279"/>
      <c r="DNE16" s="279"/>
      <c r="DNF16" s="279"/>
      <c r="DNG16" s="279"/>
      <c r="DNH16" s="279"/>
      <c r="DNI16" s="279"/>
      <c r="DNJ16" s="279"/>
      <c r="DNK16" s="279"/>
      <c r="DNL16" s="279"/>
      <c r="DNM16" s="279"/>
      <c r="DNN16" s="279"/>
      <c r="DNO16" s="279"/>
      <c r="DNP16" s="279"/>
      <c r="DNQ16" s="279"/>
      <c r="DNR16" s="279"/>
      <c r="DNS16" s="279"/>
      <c r="DNT16" s="279"/>
      <c r="DNU16" s="279"/>
      <c r="DNV16" s="279"/>
      <c r="DNW16" s="279"/>
      <c r="DNX16" s="279"/>
      <c r="DNY16" s="279"/>
      <c r="DNZ16" s="279"/>
      <c r="DOA16" s="279"/>
      <c r="DOB16" s="279"/>
      <c r="DOC16" s="279"/>
      <c r="DOD16" s="279"/>
      <c r="DOE16" s="279"/>
      <c r="DOF16" s="279"/>
      <c r="DOG16" s="279"/>
      <c r="DOH16" s="279"/>
      <c r="DOI16" s="279"/>
      <c r="DOJ16" s="279"/>
      <c r="DOK16" s="279"/>
      <c r="DOL16" s="279"/>
      <c r="DOM16" s="279"/>
      <c r="DON16" s="279"/>
      <c r="DOO16" s="279"/>
      <c r="DOP16" s="279"/>
      <c r="DOQ16" s="279"/>
      <c r="DOR16" s="279"/>
      <c r="DOS16" s="279"/>
      <c r="DOT16" s="279"/>
      <c r="DOU16" s="279"/>
      <c r="DOV16" s="279"/>
      <c r="DOW16" s="279"/>
      <c r="DOX16" s="279"/>
      <c r="DOY16" s="279"/>
      <c r="DOZ16" s="279"/>
      <c r="DPA16" s="279"/>
      <c r="DPB16" s="279"/>
      <c r="DPC16" s="279"/>
      <c r="DPD16" s="279"/>
      <c r="DPE16" s="279"/>
      <c r="DPF16" s="279"/>
      <c r="DPG16" s="279"/>
      <c r="DPH16" s="279"/>
      <c r="DPI16" s="279"/>
      <c r="DPJ16" s="279"/>
      <c r="DPK16" s="279"/>
      <c r="DPL16" s="279"/>
      <c r="DPM16" s="279"/>
      <c r="DPN16" s="279"/>
      <c r="DPO16" s="279"/>
      <c r="DPP16" s="279"/>
      <c r="DPQ16" s="279"/>
      <c r="DPR16" s="279"/>
      <c r="DPS16" s="279"/>
      <c r="DPT16" s="279"/>
      <c r="DPU16" s="279"/>
      <c r="DPV16" s="279"/>
      <c r="DPW16" s="279"/>
      <c r="DPX16" s="279"/>
      <c r="DPY16" s="279"/>
      <c r="DPZ16" s="279"/>
      <c r="DQA16" s="279"/>
      <c r="DQB16" s="279"/>
      <c r="DQC16" s="279"/>
      <c r="DQD16" s="279"/>
      <c r="DQE16" s="279"/>
      <c r="DQF16" s="279"/>
      <c r="DQG16" s="279"/>
      <c r="DQH16" s="279"/>
      <c r="DQI16" s="279"/>
      <c r="DQJ16" s="279"/>
      <c r="DQK16" s="279"/>
      <c r="DQL16" s="279"/>
      <c r="DQM16" s="279"/>
      <c r="DQN16" s="279"/>
      <c r="DQO16" s="279"/>
      <c r="DQP16" s="279"/>
      <c r="DQQ16" s="279"/>
      <c r="DQR16" s="279"/>
      <c r="DQS16" s="279"/>
      <c r="DQT16" s="279"/>
      <c r="DQU16" s="279"/>
      <c r="DQV16" s="279"/>
      <c r="DQW16" s="279"/>
      <c r="DQX16" s="279"/>
      <c r="DQY16" s="279"/>
      <c r="DQZ16" s="279"/>
      <c r="DRA16" s="279"/>
      <c r="DRB16" s="279"/>
      <c r="DRC16" s="279"/>
      <c r="DRD16" s="279"/>
      <c r="DRE16" s="279"/>
      <c r="DRF16" s="279"/>
      <c r="DRG16" s="279"/>
      <c r="DRH16" s="279"/>
      <c r="DRI16" s="279"/>
      <c r="DRJ16" s="279"/>
      <c r="DRK16" s="279"/>
      <c r="DRL16" s="279"/>
      <c r="DRM16" s="279"/>
      <c r="DRN16" s="279"/>
      <c r="DRO16" s="279"/>
      <c r="DRP16" s="279"/>
      <c r="DRQ16" s="279"/>
      <c r="DRR16" s="279"/>
      <c r="DRS16" s="279"/>
      <c r="DRT16" s="279"/>
      <c r="DRU16" s="279"/>
      <c r="DRV16" s="279"/>
      <c r="DRW16" s="279"/>
      <c r="DRX16" s="279"/>
      <c r="DRY16" s="279"/>
      <c r="DRZ16" s="279"/>
      <c r="DSA16" s="279"/>
      <c r="DSB16" s="279"/>
      <c r="DSC16" s="279"/>
      <c r="DSD16" s="279"/>
      <c r="DSE16" s="279"/>
      <c r="DSF16" s="279"/>
      <c r="DSG16" s="279"/>
      <c r="DSH16" s="279"/>
      <c r="DSI16" s="279"/>
      <c r="DSJ16" s="279"/>
      <c r="DSK16" s="279"/>
      <c r="DSL16" s="279"/>
      <c r="DSM16" s="279"/>
      <c r="DSN16" s="279"/>
      <c r="DSO16" s="279"/>
      <c r="DSP16" s="279"/>
      <c r="DSQ16" s="279"/>
      <c r="DSR16" s="279"/>
      <c r="DSS16" s="279"/>
      <c r="DST16" s="279"/>
      <c r="DSU16" s="279"/>
      <c r="DSV16" s="279"/>
      <c r="DSW16" s="279"/>
      <c r="DSX16" s="279"/>
      <c r="DSY16" s="279"/>
      <c r="DSZ16" s="279"/>
      <c r="DTA16" s="279"/>
      <c r="DTB16" s="279"/>
      <c r="DTC16" s="279"/>
      <c r="DTD16" s="279"/>
      <c r="DTE16" s="279"/>
      <c r="DTF16" s="279"/>
      <c r="DTG16" s="279"/>
      <c r="DTH16" s="279"/>
      <c r="DTI16" s="279"/>
      <c r="DTJ16" s="279"/>
      <c r="DTK16" s="279"/>
      <c r="DTL16" s="279"/>
      <c r="DTM16" s="279"/>
      <c r="DTN16" s="279"/>
      <c r="DTO16" s="279"/>
      <c r="DTP16" s="279"/>
      <c r="DTQ16" s="279"/>
      <c r="DTR16" s="279"/>
      <c r="DTS16" s="279"/>
      <c r="DTT16" s="279"/>
      <c r="DTU16" s="279"/>
      <c r="DTV16" s="279"/>
      <c r="DTW16" s="279"/>
      <c r="DTX16" s="279"/>
      <c r="DTY16" s="279"/>
      <c r="DTZ16" s="279"/>
      <c r="DUA16" s="279"/>
      <c r="DUB16" s="279"/>
      <c r="DUC16" s="279"/>
      <c r="DUD16" s="279"/>
      <c r="DUE16" s="279"/>
      <c r="DUF16" s="279"/>
      <c r="DUG16" s="279"/>
      <c r="DUH16" s="279"/>
      <c r="DUI16" s="279"/>
      <c r="DUJ16" s="279"/>
      <c r="DUK16" s="279"/>
      <c r="DUL16" s="279"/>
      <c r="DUM16" s="279"/>
      <c r="DUN16" s="279"/>
      <c r="DUO16" s="279"/>
      <c r="DUP16" s="279"/>
      <c r="DUQ16" s="279"/>
      <c r="DUR16" s="279"/>
      <c r="DUS16" s="279"/>
      <c r="DUT16" s="279"/>
      <c r="DUU16" s="279"/>
      <c r="DUV16" s="279"/>
      <c r="DUW16" s="279"/>
      <c r="DUX16" s="279"/>
      <c r="DUY16" s="279"/>
      <c r="DUZ16" s="279"/>
      <c r="DVA16" s="279"/>
      <c r="DVB16" s="279"/>
      <c r="DVC16" s="279"/>
      <c r="DVD16" s="279"/>
      <c r="DVE16" s="279"/>
      <c r="DVF16" s="279"/>
      <c r="DVG16" s="279"/>
      <c r="DVH16" s="279"/>
      <c r="DVI16" s="279"/>
      <c r="DVJ16" s="279"/>
      <c r="DVK16" s="279"/>
      <c r="DVL16" s="279"/>
      <c r="DVM16" s="279"/>
      <c r="DVN16" s="279"/>
      <c r="DVO16" s="279"/>
      <c r="DVP16" s="279"/>
      <c r="DVQ16" s="279"/>
      <c r="DVR16" s="279"/>
      <c r="DVS16" s="279"/>
      <c r="DVT16" s="279"/>
      <c r="DVU16" s="279"/>
      <c r="DVV16" s="279"/>
      <c r="DVW16" s="279"/>
      <c r="DVX16" s="279"/>
      <c r="DVY16" s="279"/>
      <c r="DVZ16" s="279"/>
      <c r="DWA16" s="279"/>
      <c r="DWB16" s="279"/>
      <c r="DWC16" s="279"/>
      <c r="DWD16" s="279"/>
      <c r="DWE16" s="279"/>
      <c r="DWF16" s="279"/>
      <c r="DWG16" s="279"/>
      <c r="DWH16" s="279"/>
      <c r="DWI16" s="279"/>
      <c r="DWJ16" s="279"/>
      <c r="DWK16" s="279"/>
      <c r="DWL16" s="279"/>
      <c r="DWM16" s="279"/>
      <c r="DWN16" s="279"/>
      <c r="DWO16" s="279"/>
      <c r="DWP16" s="279"/>
      <c r="DWQ16" s="279"/>
      <c r="DWR16" s="279"/>
      <c r="DWS16" s="279"/>
      <c r="DWT16" s="279"/>
      <c r="DWU16" s="279"/>
      <c r="DWV16" s="279"/>
      <c r="DWW16" s="279"/>
      <c r="DWX16" s="279"/>
      <c r="DWY16" s="279"/>
      <c r="DWZ16" s="279"/>
      <c r="DXA16" s="279"/>
      <c r="DXB16" s="279"/>
      <c r="DXC16" s="279"/>
      <c r="DXD16" s="279"/>
      <c r="DXE16" s="279"/>
      <c r="DXF16" s="279"/>
      <c r="DXG16" s="279"/>
      <c r="DXH16" s="279"/>
      <c r="DXI16" s="279"/>
      <c r="DXJ16" s="279"/>
      <c r="DXK16" s="279"/>
      <c r="DXL16" s="279"/>
      <c r="DXM16" s="279"/>
      <c r="DXN16" s="279"/>
      <c r="DXO16" s="279"/>
      <c r="DXP16" s="279"/>
      <c r="DXQ16" s="279"/>
      <c r="DXR16" s="279"/>
      <c r="DXS16" s="279"/>
      <c r="DXT16" s="279"/>
      <c r="DXU16" s="279"/>
      <c r="DXV16" s="279"/>
      <c r="DXW16" s="279"/>
      <c r="DXX16" s="279"/>
      <c r="DXY16" s="279"/>
      <c r="DXZ16" s="279"/>
      <c r="DYA16" s="279"/>
      <c r="DYB16" s="279"/>
      <c r="DYC16" s="279"/>
      <c r="DYD16" s="279"/>
      <c r="DYE16" s="279"/>
      <c r="DYF16" s="279"/>
      <c r="DYG16" s="279"/>
      <c r="DYH16" s="279"/>
      <c r="DYI16" s="279"/>
      <c r="DYJ16" s="279"/>
      <c r="DYK16" s="279"/>
      <c r="DYL16" s="279"/>
      <c r="DYM16" s="279"/>
      <c r="DYN16" s="279"/>
      <c r="DYO16" s="279"/>
      <c r="DYP16" s="279"/>
      <c r="DYQ16" s="279"/>
      <c r="DYR16" s="279"/>
      <c r="DYS16" s="279"/>
      <c r="DYT16" s="279"/>
      <c r="DYU16" s="279"/>
      <c r="DYV16" s="279"/>
      <c r="DYW16" s="279"/>
      <c r="DYX16" s="279"/>
      <c r="DYY16" s="279"/>
      <c r="DYZ16" s="279"/>
      <c r="DZA16" s="279"/>
      <c r="DZB16" s="279"/>
      <c r="DZC16" s="279"/>
      <c r="DZD16" s="279"/>
      <c r="DZE16" s="279"/>
      <c r="DZF16" s="279"/>
      <c r="DZG16" s="279"/>
      <c r="DZH16" s="279"/>
      <c r="DZI16" s="279"/>
      <c r="DZJ16" s="279"/>
      <c r="DZK16" s="279"/>
      <c r="DZL16" s="279"/>
      <c r="DZM16" s="279"/>
      <c r="DZN16" s="279"/>
      <c r="DZO16" s="279"/>
      <c r="DZP16" s="279"/>
      <c r="DZQ16" s="279"/>
      <c r="DZR16" s="279"/>
      <c r="DZS16" s="279"/>
      <c r="DZT16" s="279"/>
      <c r="DZU16" s="279"/>
      <c r="DZV16" s="279"/>
      <c r="DZW16" s="279"/>
      <c r="DZX16" s="279"/>
      <c r="DZY16" s="279"/>
      <c r="DZZ16" s="279"/>
      <c r="EAA16" s="279"/>
      <c r="EAB16" s="279"/>
      <c r="EAC16" s="279"/>
      <c r="EAD16" s="279"/>
      <c r="EAE16" s="279"/>
      <c r="EAF16" s="279"/>
      <c r="EAG16" s="279"/>
      <c r="EAH16" s="279"/>
      <c r="EAI16" s="279"/>
      <c r="EAJ16" s="279"/>
      <c r="EAK16" s="279"/>
      <c r="EAL16" s="279"/>
      <c r="EAM16" s="279"/>
      <c r="EAN16" s="279"/>
      <c r="EAO16" s="279"/>
      <c r="EAP16" s="279"/>
      <c r="EAQ16" s="279"/>
      <c r="EAR16" s="279"/>
      <c r="EAS16" s="279"/>
      <c r="EAT16" s="279"/>
      <c r="EAU16" s="279"/>
      <c r="EAV16" s="279"/>
      <c r="EAW16" s="279"/>
      <c r="EAX16" s="279"/>
      <c r="EAY16" s="279"/>
      <c r="EAZ16" s="279"/>
      <c r="EBA16" s="279"/>
      <c r="EBB16" s="279"/>
      <c r="EBC16" s="279"/>
      <c r="EBD16" s="279"/>
      <c r="EBE16" s="279"/>
      <c r="EBF16" s="279"/>
      <c r="EBG16" s="279"/>
      <c r="EBH16" s="279"/>
      <c r="EBI16" s="279"/>
      <c r="EBJ16" s="279"/>
      <c r="EBK16" s="279"/>
      <c r="EBL16" s="279"/>
      <c r="EBM16" s="279"/>
      <c r="EBN16" s="279"/>
      <c r="EBO16" s="279"/>
      <c r="EBP16" s="279"/>
      <c r="EBQ16" s="279"/>
      <c r="EBR16" s="279"/>
      <c r="EBS16" s="279"/>
      <c r="EBT16" s="279"/>
      <c r="EBU16" s="279"/>
      <c r="EBV16" s="279"/>
      <c r="EBW16" s="279"/>
      <c r="EBX16" s="279"/>
      <c r="EBY16" s="279"/>
      <c r="EBZ16" s="279"/>
      <c r="ECA16" s="279"/>
      <c r="ECB16" s="279"/>
      <c r="ECC16" s="279"/>
      <c r="ECD16" s="279"/>
      <c r="ECE16" s="279"/>
      <c r="ECF16" s="279"/>
      <c r="ECG16" s="279"/>
      <c r="ECH16" s="279"/>
      <c r="ECI16" s="279"/>
      <c r="ECJ16" s="279"/>
      <c r="ECK16" s="279"/>
      <c r="ECL16" s="279"/>
      <c r="ECM16" s="279"/>
      <c r="ECN16" s="279"/>
      <c r="ECO16" s="279"/>
      <c r="ECP16" s="279"/>
      <c r="ECQ16" s="279"/>
      <c r="ECR16" s="279"/>
      <c r="ECS16" s="279"/>
      <c r="ECT16" s="279"/>
      <c r="ECU16" s="279"/>
      <c r="ECV16" s="279"/>
      <c r="ECW16" s="279"/>
      <c r="ECX16" s="279"/>
      <c r="ECY16" s="279"/>
      <c r="ECZ16" s="279"/>
      <c r="EDA16" s="279"/>
      <c r="EDB16" s="279"/>
      <c r="EDC16" s="279"/>
      <c r="EDD16" s="279"/>
      <c r="EDE16" s="279"/>
      <c r="EDF16" s="279"/>
      <c r="EDG16" s="279"/>
      <c r="EDH16" s="279"/>
      <c r="EDI16" s="279"/>
      <c r="EDJ16" s="279"/>
      <c r="EDK16" s="279"/>
      <c r="EDL16" s="279"/>
      <c r="EDM16" s="279"/>
      <c r="EDN16" s="279"/>
      <c r="EDO16" s="279"/>
      <c r="EDP16" s="279"/>
      <c r="EDQ16" s="279"/>
      <c r="EDR16" s="279"/>
      <c r="EDS16" s="279"/>
      <c r="EDT16" s="279"/>
      <c r="EDU16" s="279"/>
      <c r="EDV16" s="279"/>
      <c r="EDW16" s="279"/>
      <c r="EDX16" s="279"/>
      <c r="EDY16" s="279"/>
      <c r="EDZ16" s="279"/>
      <c r="EEA16" s="279"/>
      <c r="EEB16" s="279"/>
      <c r="EEC16" s="279"/>
      <c r="EED16" s="279"/>
      <c r="EEE16" s="279"/>
      <c r="EEF16" s="279"/>
      <c r="EEG16" s="279"/>
      <c r="EEH16" s="279"/>
      <c r="EEI16" s="279"/>
      <c r="EEJ16" s="279"/>
      <c r="EEK16" s="279"/>
      <c r="EEL16" s="279"/>
      <c r="EEM16" s="279"/>
      <c r="EEN16" s="279"/>
      <c r="EEO16" s="279"/>
      <c r="EEP16" s="279"/>
      <c r="EEQ16" s="279"/>
      <c r="EER16" s="279"/>
      <c r="EES16" s="279"/>
      <c r="EET16" s="279"/>
      <c r="EEU16" s="279"/>
      <c r="EEV16" s="279"/>
      <c r="EEW16" s="279"/>
      <c r="EEX16" s="279"/>
      <c r="EEY16" s="279"/>
      <c r="EEZ16" s="279"/>
      <c r="EFA16" s="279"/>
      <c r="EFB16" s="279"/>
      <c r="EFC16" s="279"/>
      <c r="EFD16" s="279"/>
      <c r="EFE16" s="279"/>
      <c r="EFF16" s="279"/>
      <c r="EFG16" s="279"/>
      <c r="EFH16" s="279"/>
      <c r="EFI16" s="279"/>
      <c r="EFJ16" s="279"/>
      <c r="EFK16" s="279"/>
      <c r="EFL16" s="279"/>
      <c r="EFM16" s="279"/>
      <c r="EFN16" s="279"/>
      <c r="EFO16" s="279"/>
      <c r="EFP16" s="279"/>
      <c r="EFQ16" s="279"/>
      <c r="EFR16" s="279"/>
      <c r="EFS16" s="279"/>
      <c r="EFT16" s="279"/>
      <c r="EFU16" s="279"/>
      <c r="EFV16" s="279"/>
      <c r="EFW16" s="279"/>
      <c r="EFX16" s="279"/>
      <c r="EFY16" s="279"/>
      <c r="EFZ16" s="279"/>
      <c r="EGA16" s="279"/>
      <c r="EGB16" s="279"/>
      <c r="EGC16" s="279"/>
      <c r="EGD16" s="279"/>
      <c r="EGE16" s="279"/>
      <c r="EGF16" s="279"/>
      <c r="EGG16" s="279"/>
      <c r="EGH16" s="279"/>
      <c r="EGI16" s="279"/>
      <c r="EGJ16" s="279"/>
      <c r="EGK16" s="279"/>
      <c r="EGL16" s="279"/>
      <c r="EGM16" s="279"/>
      <c r="EGN16" s="279"/>
      <c r="EGO16" s="279"/>
      <c r="EGP16" s="279"/>
      <c r="EGQ16" s="279"/>
      <c r="EGR16" s="279"/>
      <c r="EGS16" s="279"/>
      <c r="EGT16" s="279"/>
      <c r="EGU16" s="279"/>
      <c r="EGV16" s="279"/>
      <c r="EGW16" s="279"/>
      <c r="EGX16" s="279"/>
      <c r="EGY16" s="279"/>
      <c r="EGZ16" s="279"/>
      <c r="EHA16" s="279"/>
      <c r="EHB16" s="279"/>
      <c r="EHC16" s="279"/>
      <c r="EHD16" s="279"/>
      <c r="EHE16" s="279"/>
      <c r="EHF16" s="279"/>
      <c r="EHG16" s="279"/>
      <c r="EHH16" s="279"/>
      <c r="EHI16" s="279"/>
      <c r="EHJ16" s="279"/>
      <c r="EHK16" s="279"/>
      <c r="EHL16" s="279"/>
      <c r="EHM16" s="279"/>
      <c r="EHN16" s="279"/>
      <c r="EHO16" s="279"/>
      <c r="EHP16" s="279"/>
      <c r="EHQ16" s="279"/>
      <c r="EHR16" s="279"/>
      <c r="EHS16" s="279"/>
      <c r="EHT16" s="279"/>
      <c r="EHU16" s="279"/>
      <c r="EHV16" s="279"/>
      <c r="EHW16" s="279"/>
      <c r="EHX16" s="279"/>
      <c r="EHY16" s="279"/>
      <c r="EHZ16" s="279"/>
      <c r="EIA16" s="279"/>
      <c r="EIB16" s="279"/>
      <c r="EIC16" s="279"/>
      <c r="EID16" s="279"/>
      <c r="EIE16" s="279"/>
      <c r="EIF16" s="279"/>
      <c r="EIG16" s="279"/>
      <c r="EIH16" s="279"/>
      <c r="EII16" s="279"/>
      <c r="EIJ16" s="279"/>
      <c r="EIK16" s="279"/>
      <c r="EIL16" s="279"/>
      <c r="EIM16" s="279"/>
      <c r="EIN16" s="279"/>
      <c r="EIO16" s="279"/>
      <c r="EIP16" s="279"/>
      <c r="EIQ16" s="279"/>
      <c r="EIR16" s="279"/>
      <c r="EIS16" s="279"/>
      <c r="EIT16" s="279"/>
      <c r="EIU16" s="279"/>
      <c r="EIV16" s="279"/>
      <c r="EIW16" s="279"/>
      <c r="EIX16" s="279"/>
      <c r="EIY16" s="279"/>
      <c r="EIZ16" s="279"/>
      <c r="EJA16" s="279"/>
      <c r="EJB16" s="279"/>
      <c r="EJC16" s="279"/>
      <c r="EJD16" s="279"/>
      <c r="EJE16" s="279"/>
      <c r="EJF16" s="279"/>
      <c r="EJG16" s="279"/>
      <c r="EJH16" s="279"/>
      <c r="EJI16" s="279"/>
      <c r="EJJ16" s="279"/>
      <c r="EJK16" s="279"/>
      <c r="EJL16" s="279"/>
      <c r="EJM16" s="279"/>
      <c r="EJN16" s="279"/>
      <c r="EJO16" s="279"/>
      <c r="EJP16" s="279"/>
      <c r="EJQ16" s="279"/>
      <c r="EJR16" s="279"/>
      <c r="EJS16" s="279"/>
      <c r="EJT16" s="279"/>
      <c r="EJU16" s="279"/>
      <c r="EJV16" s="279"/>
      <c r="EJW16" s="279"/>
      <c r="EJX16" s="279"/>
      <c r="EJY16" s="279"/>
      <c r="EJZ16" s="279"/>
      <c r="EKA16" s="279"/>
      <c r="EKB16" s="279"/>
      <c r="EKC16" s="279"/>
      <c r="EKD16" s="279"/>
      <c r="EKE16" s="279"/>
      <c r="EKF16" s="279"/>
      <c r="EKG16" s="279"/>
      <c r="EKH16" s="279"/>
      <c r="EKI16" s="279"/>
      <c r="EKJ16" s="279"/>
      <c r="EKK16" s="279"/>
      <c r="EKL16" s="279"/>
      <c r="EKM16" s="279"/>
      <c r="EKN16" s="279"/>
      <c r="EKO16" s="279"/>
      <c r="EKP16" s="279"/>
      <c r="EKQ16" s="279"/>
      <c r="EKR16" s="279"/>
      <c r="EKS16" s="279"/>
      <c r="EKT16" s="279"/>
      <c r="EKU16" s="279"/>
      <c r="EKV16" s="279"/>
      <c r="EKW16" s="279"/>
      <c r="EKX16" s="279"/>
      <c r="EKY16" s="279"/>
      <c r="EKZ16" s="279"/>
      <c r="ELA16" s="279"/>
      <c r="ELB16" s="279"/>
      <c r="ELC16" s="279"/>
      <c r="ELD16" s="279"/>
      <c r="ELE16" s="279"/>
      <c r="ELF16" s="279"/>
      <c r="ELG16" s="279"/>
      <c r="ELH16" s="279"/>
      <c r="ELI16" s="279"/>
      <c r="ELJ16" s="279"/>
      <c r="ELK16" s="279"/>
      <c r="ELL16" s="279"/>
      <c r="ELM16" s="279"/>
      <c r="ELN16" s="279"/>
      <c r="ELO16" s="279"/>
      <c r="ELP16" s="279"/>
      <c r="ELQ16" s="279"/>
      <c r="ELR16" s="279"/>
      <c r="ELS16" s="279"/>
      <c r="ELT16" s="279"/>
      <c r="ELU16" s="279"/>
      <c r="ELV16" s="279"/>
      <c r="ELW16" s="279"/>
      <c r="ELX16" s="279"/>
      <c r="ELY16" s="279"/>
      <c r="ELZ16" s="279"/>
      <c r="EMA16" s="279"/>
      <c r="EMB16" s="279"/>
      <c r="EMC16" s="279"/>
      <c r="EMD16" s="279"/>
      <c r="EME16" s="279"/>
      <c r="EMF16" s="279"/>
      <c r="EMG16" s="279"/>
      <c r="EMH16" s="279"/>
      <c r="EMI16" s="279"/>
      <c r="EMJ16" s="279"/>
      <c r="EMK16" s="279"/>
      <c r="EML16" s="279"/>
      <c r="EMM16" s="279"/>
      <c r="EMN16" s="279"/>
      <c r="EMO16" s="279"/>
      <c r="EMP16" s="279"/>
      <c r="EMQ16" s="279"/>
      <c r="EMR16" s="279"/>
      <c r="EMS16" s="279"/>
      <c r="EMT16" s="279"/>
      <c r="EMU16" s="279"/>
      <c r="EMV16" s="279"/>
      <c r="EMW16" s="279"/>
      <c r="EMX16" s="279"/>
      <c r="EMY16" s="279"/>
      <c r="EMZ16" s="279"/>
      <c r="ENA16" s="279"/>
      <c r="ENB16" s="279"/>
      <c r="ENC16" s="279"/>
      <c r="END16" s="279"/>
      <c r="ENE16" s="279"/>
      <c r="ENF16" s="279"/>
      <c r="ENG16" s="279"/>
      <c r="ENH16" s="279"/>
      <c r="ENI16" s="279"/>
      <c r="ENJ16" s="279"/>
      <c r="ENK16" s="279"/>
      <c r="ENL16" s="279"/>
      <c r="ENM16" s="279"/>
      <c r="ENN16" s="279"/>
      <c r="ENO16" s="279"/>
      <c r="ENP16" s="279"/>
      <c r="ENQ16" s="279"/>
      <c r="ENR16" s="279"/>
      <c r="ENS16" s="279"/>
      <c r="ENT16" s="279"/>
      <c r="ENU16" s="279"/>
      <c r="ENV16" s="279"/>
      <c r="ENW16" s="279"/>
      <c r="ENX16" s="279"/>
      <c r="ENY16" s="279"/>
      <c r="ENZ16" s="279"/>
      <c r="EOA16" s="279"/>
      <c r="EOB16" s="279"/>
      <c r="EOC16" s="279"/>
      <c r="EOD16" s="279"/>
      <c r="EOE16" s="279"/>
      <c r="EOF16" s="279"/>
      <c r="EOG16" s="279"/>
      <c r="EOH16" s="279"/>
      <c r="EOI16" s="279"/>
      <c r="EOJ16" s="279"/>
      <c r="EOK16" s="279"/>
      <c r="EOL16" s="279"/>
      <c r="EOM16" s="279"/>
      <c r="EON16" s="279"/>
      <c r="EOO16" s="279"/>
      <c r="EOP16" s="279"/>
      <c r="EOQ16" s="279"/>
      <c r="EOR16" s="279"/>
      <c r="EOS16" s="279"/>
      <c r="EOT16" s="279"/>
      <c r="EOU16" s="279"/>
      <c r="EOV16" s="279"/>
      <c r="EOW16" s="279"/>
      <c r="EOX16" s="279"/>
      <c r="EOY16" s="279"/>
      <c r="EOZ16" s="279"/>
      <c r="EPA16" s="279"/>
      <c r="EPB16" s="279"/>
      <c r="EPC16" s="279"/>
      <c r="EPD16" s="279"/>
      <c r="EPE16" s="279"/>
      <c r="EPF16" s="279"/>
      <c r="EPG16" s="279"/>
      <c r="EPH16" s="279"/>
      <c r="EPI16" s="279"/>
      <c r="EPJ16" s="279"/>
      <c r="EPK16" s="279"/>
      <c r="EPL16" s="279"/>
      <c r="EPM16" s="279"/>
      <c r="EPN16" s="279"/>
      <c r="EPO16" s="279"/>
      <c r="EPP16" s="279"/>
      <c r="EPQ16" s="279"/>
      <c r="EPR16" s="279"/>
      <c r="EPS16" s="279"/>
      <c r="EPT16" s="279"/>
      <c r="EPU16" s="279"/>
      <c r="EPV16" s="279"/>
      <c r="EPW16" s="279"/>
      <c r="EPX16" s="279"/>
      <c r="EPY16" s="279"/>
      <c r="EPZ16" s="279"/>
      <c r="EQA16" s="279"/>
      <c r="EQB16" s="279"/>
      <c r="EQC16" s="279"/>
      <c r="EQD16" s="279"/>
      <c r="EQE16" s="279"/>
      <c r="EQF16" s="279"/>
      <c r="EQG16" s="279"/>
      <c r="EQH16" s="279"/>
      <c r="EQI16" s="279"/>
      <c r="EQJ16" s="279"/>
      <c r="EQK16" s="279"/>
      <c r="EQL16" s="279"/>
      <c r="EQM16" s="279"/>
      <c r="EQN16" s="279"/>
      <c r="EQO16" s="279"/>
      <c r="EQP16" s="279"/>
      <c r="EQQ16" s="279"/>
      <c r="EQR16" s="279"/>
      <c r="EQS16" s="279"/>
      <c r="EQT16" s="279"/>
      <c r="EQU16" s="279"/>
      <c r="EQV16" s="279"/>
      <c r="EQW16" s="279"/>
      <c r="EQX16" s="279"/>
      <c r="EQY16" s="279"/>
      <c r="EQZ16" s="279"/>
      <c r="ERA16" s="279"/>
      <c r="ERB16" s="279"/>
      <c r="ERC16" s="279"/>
      <c r="ERD16" s="279"/>
      <c r="ERE16" s="279"/>
      <c r="ERF16" s="279"/>
      <c r="ERG16" s="279"/>
      <c r="ERH16" s="279"/>
      <c r="ERI16" s="279"/>
      <c r="ERJ16" s="279"/>
      <c r="ERK16" s="279"/>
      <c r="ERL16" s="279"/>
      <c r="ERM16" s="279"/>
      <c r="ERN16" s="279"/>
      <c r="ERO16" s="279"/>
      <c r="ERP16" s="279"/>
      <c r="ERQ16" s="279"/>
      <c r="ERR16" s="279"/>
      <c r="ERS16" s="279"/>
      <c r="ERT16" s="279"/>
      <c r="ERU16" s="279"/>
      <c r="ERV16" s="279"/>
      <c r="ERW16" s="279"/>
      <c r="ERX16" s="279"/>
      <c r="ERY16" s="279"/>
      <c r="ERZ16" s="279"/>
      <c r="ESA16" s="279"/>
      <c r="ESB16" s="279"/>
      <c r="ESC16" s="279"/>
      <c r="ESD16" s="279"/>
      <c r="ESE16" s="279"/>
      <c r="ESF16" s="279"/>
      <c r="ESG16" s="279"/>
      <c r="ESH16" s="279"/>
      <c r="ESI16" s="279"/>
      <c r="ESJ16" s="279"/>
      <c r="ESK16" s="279"/>
      <c r="ESL16" s="279"/>
      <c r="ESM16" s="279"/>
      <c r="ESN16" s="279"/>
      <c r="ESO16" s="279"/>
      <c r="ESP16" s="279"/>
      <c r="ESQ16" s="279"/>
      <c r="ESR16" s="279"/>
      <c r="ESS16" s="279"/>
      <c r="EST16" s="279"/>
      <c r="ESU16" s="279"/>
      <c r="ESV16" s="279"/>
      <c r="ESW16" s="279"/>
      <c r="ESX16" s="279"/>
      <c r="ESY16" s="279"/>
      <c r="ESZ16" s="279"/>
      <c r="ETA16" s="279"/>
      <c r="ETB16" s="279"/>
      <c r="ETC16" s="279"/>
      <c r="ETD16" s="279"/>
      <c r="ETE16" s="279"/>
      <c r="ETF16" s="279"/>
      <c r="ETG16" s="279"/>
      <c r="ETH16" s="279"/>
      <c r="ETI16" s="279"/>
      <c r="ETJ16" s="279"/>
      <c r="ETK16" s="279"/>
      <c r="ETL16" s="279"/>
      <c r="ETM16" s="279"/>
      <c r="ETN16" s="279"/>
      <c r="ETO16" s="279"/>
      <c r="ETP16" s="279"/>
      <c r="ETQ16" s="279"/>
      <c r="ETR16" s="279"/>
      <c r="ETS16" s="279"/>
      <c r="ETT16" s="279"/>
      <c r="ETU16" s="279"/>
      <c r="ETV16" s="279"/>
      <c r="ETW16" s="279"/>
      <c r="ETX16" s="279"/>
      <c r="ETY16" s="279"/>
      <c r="ETZ16" s="279"/>
      <c r="EUA16" s="279"/>
      <c r="EUB16" s="279"/>
      <c r="EUC16" s="279"/>
      <c r="EUD16" s="279"/>
      <c r="EUE16" s="279"/>
      <c r="EUF16" s="279"/>
      <c r="EUG16" s="279"/>
      <c r="EUH16" s="279"/>
      <c r="EUI16" s="279"/>
      <c r="EUJ16" s="279"/>
      <c r="EUK16" s="279"/>
      <c r="EUL16" s="279"/>
      <c r="EUM16" s="279"/>
      <c r="EUN16" s="279"/>
      <c r="EUO16" s="279"/>
      <c r="EUP16" s="279"/>
      <c r="EUQ16" s="279"/>
      <c r="EUR16" s="279"/>
      <c r="EUS16" s="279"/>
      <c r="EUT16" s="279"/>
      <c r="EUU16" s="279"/>
      <c r="EUV16" s="279"/>
      <c r="EUW16" s="279"/>
      <c r="EUX16" s="279"/>
      <c r="EUY16" s="279"/>
      <c r="EUZ16" s="279"/>
      <c r="EVA16" s="279"/>
      <c r="EVB16" s="279"/>
      <c r="EVC16" s="279"/>
      <c r="EVD16" s="279"/>
      <c r="EVE16" s="279"/>
      <c r="EVF16" s="279"/>
      <c r="EVG16" s="279"/>
      <c r="EVH16" s="279"/>
      <c r="EVI16" s="279"/>
      <c r="EVJ16" s="279"/>
      <c r="EVK16" s="279"/>
      <c r="EVL16" s="279"/>
      <c r="EVM16" s="279"/>
      <c r="EVN16" s="279"/>
      <c r="EVO16" s="279"/>
      <c r="EVP16" s="279"/>
      <c r="EVQ16" s="279"/>
      <c r="EVR16" s="279"/>
      <c r="EVS16" s="279"/>
      <c r="EVT16" s="279"/>
      <c r="EVU16" s="279"/>
      <c r="EVV16" s="279"/>
      <c r="EVW16" s="279"/>
      <c r="EVX16" s="279"/>
      <c r="EVY16" s="279"/>
      <c r="EVZ16" s="279"/>
      <c r="EWA16" s="279"/>
      <c r="EWB16" s="279"/>
      <c r="EWC16" s="279"/>
      <c r="EWD16" s="279"/>
      <c r="EWE16" s="279"/>
      <c r="EWF16" s="279"/>
      <c r="EWG16" s="279"/>
      <c r="EWH16" s="279"/>
      <c r="EWI16" s="279"/>
      <c r="EWJ16" s="279"/>
      <c r="EWK16" s="279"/>
      <c r="EWL16" s="279"/>
      <c r="EWM16" s="279"/>
      <c r="EWN16" s="279"/>
      <c r="EWO16" s="279"/>
      <c r="EWP16" s="279"/>
      <c r="EWQ16" s="279"/>
      <c r="EWR16" s="279"/>
      <c r="EWS16" s="279"/>
      <c r="EWT16" s="279"/>
      <c r="EWU16" s="279"/>
      <c r="EWV16" s="279"/>
      <c r="EWW16" s="279"/>
      <c r="EWX16" s="279"/>
      <c r="EWY16" s="279"/>
      <c r="EWZ16" s="279"/>
      <c r="EXA16" s="279"/>
      <c r="EXB16" s="279"/>
      <c r="EXC16" s="279"/>
      <c r="EXD16" s="279"/>
      <c r="EXE16" s="279"/>
      <c r="EXF16" s="279"/>
      <c r="EXG16" s="279"/>
      <c r="EXH16" s="279"/>
      <c r="EXI16" s="279"/>
      <c r="EXJ16" s="279"/>
      <c r="EXK16" s="279"/>
      <c r="EXL16" s="279"/>
      <c r="EXM16" s="279"/>
      <c r="EXN16" s="279"/>
      <c r="EXO16" s="279"/>
      <c r="EXP16" s="279"/>
      <c r="EXQ16" s="279"/>
      <c r="EXR16" s="279"/>
      <c r="EXS16" s="279"/>
      <c r="EXT16" s="279"/>
      <c r="EXU16" s="279"/>
      <c r="EXV16" s="279"/>
      <c r="EXW16" s="279"/>
      <c r="EXX16" s="279"/>
      <c r="EXY16" s="279"/>
      <c r="EXZ16" s="279"/>
      <c r="EYA16" s="279"/>
      <c r="EYB16" s="279"/>
      <c r="EYC16" s="279"/>
      <c r="EYD16" s="279"/>
      <c r="EYE16" s="279"/>
      <c r="EYF16" s="279"/>
      <c r="EYG16" s="279"/>
      <c r="EYH16" s="279"/>
      <c r="EYI16" s="279"/>
      <c r="EYJ16" s="279"/>
      <c r="EYK16" s="279"/>
      <c r="EYL16" s="279"/>
      <c r="EYM16" s="279"/>
      <c r="EYN16" s="279"/>
      <c r="EYO16" s="279"/>
      <c r="EYP16" s="279"/>
      <c r="EYQ16" s="279"/>
      <c r="EYR16" s="279"/>
      <c r="EYS16" s="279"/>
      <c r="EYT16" s="279"/>
      <c r="EYU16" s="279"/>
      <c r="EYV16" s="279"/>
      <c r="EYW16" s="279"/>
      <c r="EYX16" s="279"/>
      <c r="EYY16" s="279"/>
      <c r="EYZ16" s="279"/>
      <c r="EZA16" s="279"/>
      <c r="EZB16" s="279"/>
      <c r="EZC16" s="279"/>
      <c r="EZD16" s="279"/>
      <c r="EZE16" s="279"/>
      <c r="EZF16" s="279"/>
      <c r="EZG16" s="279"/>
      <c r="EZH16" s="279"/>
      <c r="EZI16" s="279"/>
      <c r="EZJ16" s="279"/>
      <c r="EZK16" s="279"/>
      <c r="EZL16" s="279"/>
      <c r="EZM16" s="279"/>
      <c r="EZN16" s="279"/>
      <c r="EZO16" s="279"/>
      <c r="EZP16" s="279"/>
      <c r="EZQ16" s="279"/>
      <c r="EZR16" s="279"/>
      <c r="EZS16" s="279"/>
      <c r="EZT16" s="279"/>
      <c r="EZU16" s="279"/>
      <c r="EZV16" s="279"/>
      <c r="EZW16" s="279"/>
      <c r="EZX16" s="279"/>
      <c r="EZY16" s="279"/>
      <c r="EZZ16" s="279"/>
      <c r="FAA16" s="279"/>
      <c r="FAB16" s="279"/>
      <c r="FAC16" s="279"/>
      <c r="FAD16" s="279"/>
      <c r="FAE16" s="279"/>
      <c r="FAF16" s="279"/>
      <c r="FAG16" s="279"/>
      <c r="FAH16" s="279"/>
      <c r="FAI16" s="279"/>
      <c r="FAJ16" s="279"/>
      <c r="FAK16" s="279"/>
      <c r="FAL16" s="279"/>
      <c r="FAM16" s="279"/>
      <c r="FAN16" s="279"/>
      <c r="FAO16" s="279"/>
      <c r="FAP16" s="279"/>
      <c r="FAQ16" s="279"/>
      <c r="FAR16" s="279"/>
      <c r="FAS16" s="279"/>
      <c r="FAT16" s="279"/>
      <c r="FAU16" s="279"/>
      <c r="FAV16" s="279"/>
      <c r="FAW16" s="279"/>
      <c r="FAX16" s="279"/>
      <c r="FAY16" s="279"/>
      <c r="FAZ16" s="279"/>
      <c r="FBA16" s="279"/>
      <c r="FBB16" s="279"/>
      <c r="FBC16" s="279"/>
      <c r="FBD16" s="279"/>
      <c r="FBE16" s="279"/>
      <c r="FBF16" s="279"/>
      <c r="FBG16" s="279"/>
      <c r="FBH16" s="279"/>
      <c r="FBI16" s="279"/>
      <c r="FBJ16" s="279"/>
      <c r="FBK16" s="279"/>
      <c r="FBL16" s="279"/>
      <c r="FBM16" s="279"/>
      <c r="FBN16" s="279"/>
      <c r="FBO16" s="279"/>
      <c r="FBP16" s="279"/>
      <c r="FBQ16" s="279"/>
      <c r="FBR16" s="279"/>
      <c r="FBS16" s="279"/>
      <c r="FBT16" s="279"/>
      <c r="FBU16" s="279"/>
      <c r="FBV16" s="279"/>
      <c r="FBW16" s="279"/>
      <c r="FBX16" s="279"/>
      <c r="FBY16" s="279"/>
      <c r="FBZ16" s="279"/>
      <c r="FCA16" s="279"/>
      <c r="FCB16" s="279"/>
      <c r="FCC16" s="279"/>
      <c r="FCD16" s="279"/>
      <c r="FCE16" s="279"/>
      <c r="FCF16" s="279"/>
      <c r="FCG16" s="279"/>
      <c r="FCH16" s="279"/>
      <c r="FCI16" s="279"/>
      <c r="FCJ16" s="279"/>
      <c r="FCK16" s="279"/>
      <c r="FCL16" s="279"/>
      <c r="FCM16" s="279"/>
      <c r="FCN16" s="279"/>
      <c r="FCO16" s="279"/>
      <c r="FCP16" s="279"/>
      <c r="FCQ16" s="279"/>
      <c r="FCR16" s="279"/>
      <c r="FCS16" s="279"/>
      <c r="FCT16" s="279"/>
      <c r="FCU16" s="279"/>
      <c r="FCV16" s="279"/>
      <c r="FCW16" s="279"/>
      <c r="FCX16" s="279"/>
      <c r="FCY16" s="279"/>
      <c r="FCZ16" s="279"/>
      <c r="FDA16" s="279"/>
      <c r="FDB16" s="279"/>
      <c r="FDC16" s="279"/>
      <c r="FDD16" s="279"/>
      <c r="FDE16" s="279"/>
      <c r="FDF16" s="279"/>
      <c r="FDG16" s="279"/>
      <c r="FDH16" s="279"/>
      <c r="FDI16" s="279"/>
      <c r="FDJ16" s="279"/>
      <c r="FDK16" s="279"/>
      <c r="FDL16" s="279"/>
      <c r="FDM16" s="279"/>
      <c r="FDN16" s="279"/>
      <c r="FDO16" s="279"/>
      <c r="FDP16" s="279"/>
      <c r="FDQ16" s="279"/>
      <c r="FDR16" s="279"/>
      <c r="FDS16" s="279"/>
      <c r="FDT16" s="279"/>
      <c r="FDU16" s="279"/>
      <c r="FDV16" s="279"/>
      <c r="FDW16" s="279"/>
      <c r="FDX16" s="279"/>
      <c r="FDY16" s="279"/>
      <c r="FDZ16" s="279"/>
      <c r="FEA16" s="279"/>
      <c r="FEB16" s="279"/>
      <c r="FEC16" s="279"/>
      <c r="FED16" s="279"/>
      <c r="FEE16" s="279"/>
      <c r="FEF16" s="279"/>
      <c r="FEG16" s="279"/>
      <c r="FEH16" s="279"/>
      <c r="FEI16" s="279"/>
      <c r="FEJ16" s="279"/>
      <c r="FEK16" s="279"/>
      <c r="FEL16" s="279"/>
      <c r="FEM16" s="279"/>
      <c r="FEN16" s="279"/>
      <c r="FEO16" s="279"/>
      <c r="FEP16" s="279"/>
      <c r="FEQ16" s="279"/>
      <c r="FER16" s="279"/>
      <c r="FES16" s="279"/>
      <c r="FET16" s="279"/>
      <c r="FEU16" s="279"/>
      <c r="FEV16" s="279"/>
      <c r="FEW16" s="279"/>
      <c r="FEX16" s="279"/>
      <c r="FEY16" s="279"/>
      <c r="FEZ16" s="279"/>
      <c r="FFA16" s="279"/>
      <c r="FFB16" s="279"/>
      <c r="FFC16" s="279"/>
      <c r="FFD16" s="279"/>
      <c r="FFE16" s="279"/>
      <c r="FFF16" s="279"/>
      <c r="FFG16" s="279"/>
      <c r="FFH16" s="279"/>
      <c r="FFI16" s="279"/>
      <c r="FFJ16" s="279"/>
      <c r="FFK16" s="279"/>
      <c r="FFL16" s="279"/>
      <c r="FFM16" s="279"/>
      <c r="FFN16" s="279"/>
      <c r="FFO16" s="279"/>
      <c r="FFP16" s="279"/>
      <c r="FFQ16" s="279"/>
      <c r="FFR16" s="279"/>
      <c r="FFS16" s="279"/>
      <c r="FFT16" s="279"/>
      <c r="FFU16" s="279"/>
      <c r="FFV16" s="279"/>
      <c r="FFW16" s="279"/>
      <c r="FFX16" s="279"/>
      <c r="FFY16" s="279"/>
      <c r="FFZ16" s="279"/>
      <c r="FGA16" s="279"/>
      <c r="FGB16" s="279"/>
      <c r="FGC16" s="279"/>
      <c r="FGD16" s="279"/>
      <c r="FGE16" s="279"/>
      <c r="FGF16" s="279"/>
      <c r="FGG16" s="279"/>
      <c r="FGH16" s="279"/>
      <c r="FGI16" s="279"/>
      <c r="FGJ16" s="279"/>
      <c r="FGK16" s="279"/>
      <c r="FGL16" s="279"/>
      <c r="FGM16" s="279"/>
      <c r="FGN16" s="279"/>
      <c r="FGO16" s="279"/>
      <c r="FGP16" s="279"/>
      <c r="FGQ16" s="279"/>
      <c r="FGR16" s="279"/>
      <c r="FGS16" s="279"/>
      <c r="FGT16" s="279"/>
      <c r="FGU16" s="279"/>
      <c r="FGV16" s="279"/>
      <c r="FGW16" s="279"/>
      <c r="FGX16" s="279"/>
      <c r="FGY16" s="279"/>
      <c r="FGZ16" s="279"/>
      <c r="FHA16" s="279"/>
      <c r="FHB16" s="279"/>
      <c r="FHC16" s="279"/>
      <c r="FHD16" s="279"/>
      <c r="FHE16" s="279"/>
      <c r="FHF16" s="279"/>
      <c r="FHG16" s="279"/>
      <c r="FHH16" s="279"/>
      <c r="FHI16" s="279"/>
      <c r="FHJ16" s="279"/>
      <c r="FHK16" s="279"/>
      <c r="FHL16" s="279"/>
      <c r="FHM16" s="279"/>
      <c r="FHN16" s="279"/>
      <c r="FHO16" s="279"/>
      <c r="FHP16" s="279"/>
      <c r="FHQ16" s="279"/>
      <c r="FHR16" s="279"/>
      <c r="FHS16" s="279"/>
      <c r="FHT16" s="279"/>
      <c r="FHU16" s="279"/>
      <c r="FHV16" s="279"/>
      <c r="FHW16" s="279"/>
      <c r="FHX16" s="279"/>
      <c r="FHY16" s="279"/>
      <c r="FHZ16" s="279"/>
      <c r="FIA16" s="279"/>
      <c r="FIB16" s="279"/>
      <c r="FIC16" s="279"/>
      <c r="FID16" s="279"/>
      <c r="FIE16" s="279"/>
      <c r="FIF16" s="279"/>
      <c r="FIG16" s="279"/>
      <c r="FIH16" s="279"/>
      <c r="FII16" s="279"/>
      <c r="FIJ16" s="279"/>
      <c r="FIK16" s="279"/>
      <c r="FIL16" s="279"/>
      <c r="FIM16" s="279"/>
      <c r="FIN16" s="279"/>
      <c r="FIO16" s="279"/>
      <c r="FIP16" s="279"/>
      <c r="FIQ16" s="279"/>
      <c r="FIR16" s="279"/>
      <c r="FIS16" s="279"/>
      <c r="FIT16" s="279"/>
      <c r="FIU16" s="279"/>
      <c r="FIV16" s="279"/>
      <c r="FIW16" s="279"/>
      <c r="FIX16" s="279"/>
      <c r="FIY16" s="279"/>
      <c r="FIZ16" s="279"/>
      <c r="FJA16" s="279"/>
      <c r="FJB16" s="279"/>
      <c r="FJC16" s="279"/>
      <c r="FJD16" s="279"/>
      <c r="FJE16" s="279"/>
      <c r="FJF16" s="279"/>
      <c r="FJG16" s="279"/>
      <c r="FJH16" s="279"/>
      <c r="FJI16" s="279"/>
      <c r="FJJ16" s="279"/>
      <c r="FJK16" s="279"/>
      <c r="FJL16" s="279"/>
      <c r="FJM16" s="279"/>
      <c r="FJN16" s="279"/>
      <c r="FJO16" s="279"/>
      <c r="FJP16" s="279"/>
      <c r="FJQ16" s="279"/>
      <c r="FJR16" s="279"/>
      <c r="FJS16" s="279"/>
      <c r="FJT16" s="279"/>
      <c r="FJU16" s="279"/>
      <c r="FJV16" s="279"/>
      <c r="FJW16" s="279"/>
      <c r="FJX16" s="279"/>
      <c r="FJY16" s="279"/>
      <c r="FJZ16" s="279"/>
      <c r="FKA16" s="279"/>
      <c r="FKB16" s="279"/>
      <c r="FKC16" s="279"/>
      <c r="FKD16" s="279"/>
      <c r="FKE16" s="279"/>
      <c r="FKF16" s="279"/>
      <c r="FKG16" s="279"/>
      <c r="FKH16" s="279"/>
      <c r="FKI16" s="279"/>
      <c r="FKJ16" s="279"/>
      <c r="FKK16" s="279"/>
      <c r="FKL16" s="279"/>
      <c r="FKM16" s="279"/>
      <c r="FKN16" s="279"/>
      <c r="FKO16" s="279"/>
      <c r="FKP16" s="279"/>
      <c r="FKQ16" s="279"/>
      <c r="FKR16" s="279"/>
      <c r="FKS16" s="279"/>
      <c r="FKT16" s="279"/>
      <c r="FKU16" s="279"/>
      <c r="FKV16" s="279"/>
      <c r="FKW16" s="279"/>
      <c r="FKX16" s="279"/>
      <c r="FKY16" s="279"/>
      <c r="FKZ16" s="279"/>
      <c r="FLA16" s="279"/>
      <c r="FLB16" s="279"/>
      <c r="FLC16" s="279"/>
      <c r="FLD16" s="279"/>
      <c r="FLE16" s="279"/>
      <c r="FLF16" s="279"/>
      <c r="FLG16" s="279"/>
      <c r="FLH16" s="279"/>
      <c r="FLI16" s="279"/>
      <c r="FLJ16" s="279"/>
      <c r="FLK16" s="279"/>
      <c r="FLL16" s="279"/>
      <c r="FLM16" s="279"/>
      <c r="FLN16" s="279"/>
      <c r="FLO16" s="279"/>
      <c r="FLP16" s="279"/>
      <c r="FLQ16" s="279"/>
      <c r="FLR16" s="279"/>
      <c r="FLS16" s="279"/>
      <c r="FLT16" s="279"/>
      <c r="FLU16" s="279"/>
      <c r="FLV16" s="279"/>
      <c r="FLW16" s="279"/>
      <c r="FLX16" s="279"/>
      <c r="FLY16" s="279"/>
      <c r="FLZ16" s="279"/>
      <c r="FMA16" s="279"/>
      <c r="FMB16" s="279"/>
      <c r="FMC16" s="279"/>
      <c r="FMD16" s="279"/>
      <c r="FME16" s="279"/>
      <c r="FMF16" s="279"/>
      <c r="FMG16" s="279"/>
      <c r="FMH16" s="279"/>
      <c r="FMI16" s="279"/>
      <c r="FMJ16" s="279"/>
      <c r="FMK16" s="279"/>
      <c r="FML16" s="279"/>
      <c r="FMM16" s="279"/>
      <c r="FMN16" s="279"/>
      <c r="FMO16" s="279"/>
      <c r="FMP16" s="279"/>
      <c r="FMQ16" s="279"/>
      <c r="FMR16" s="279"/>
      <c r="FMS16" s="279"/>
      <c r="FMT16" s="279"/>
      <c r="FMU16" s="279"/>
      <c r="FMV16" s="279"/>
      <c r="FMW16" s="279"/>
      <c r="FMX16" s="279"/>
      <c r="FMY16" s="279"/>
      <c r="FMZ16" s="279"/>
      <c r="FNA16" s="279"/>
      <c r="FNB16" s="279"/>
      <c r="FNC16" s="279"/>
      <c r="FND16" s="279"/>
      <c r="FNE16" s="279"/>
      <c r="FNF16" s="279"/>
      <c r="FNG16" s="279"/>
      <c r="FNH16" s="279"/>
      <c r="FNI16" s="279"/>
      <c r="FNJ16" s="279"/>
      <c r="FNK16" s="279"/>
      <c r="FNL16" s="279"/>
      <c r="FNM16" s="279"/>
      <c r="FNN16" s="279"/>
      <c r="FNO16" s="279"/>
      <c r="FNP16" s="279"/>
      <c r="FNQ16" s="279"/>
      <c r="FNR16" s="279"/>
      <c r="FNS16" s="279"/>
      <c r="FNT16" s="279"/>
      <c r="FNU16" s="279"/>
      <c r="FNV16" s="279"/>
      <c r="FNW16" s="279"/>
      <c r="FNX16" s="279"/>
      <c r="FNY16" s="279"/>
      <c r="FNZ16" s="279"/>
      <c r="FOA16" s="279"/>
      <c r="FOB16" s="279"/>
      <c r="FOC16" s="279"/>
      <c r="FOD16" s="279"/>
      <c r="FOE16" s="279"/>
      <c r="FOF16" s="279"/>
      <c r="FOG16" s="279"/>
      <c r="FOH16" s="279"/>
      <c r="FOI16" s="279"/>
      <c r="FOJ16" s="279"/>
      <c r="FOK16" s="279"/>
      <c r="FOL16" s="279"/>
      <c r="FOM16" s="279"/>
      <c r="FON16" s="279"/>
      <c r="FOO16" s="279"/>
      <c r="FOP16" s="279"/>
      <c r="FOQ16" s="279"/>
      <c r="FOR16" s="279"/>
      <c r="FOS16" s="279"/>
      <c r="FOT16" s="279"/>
      <c r="FOU16" s="279"/>
      <c r="FOV16" s="279"/>
      <c r="FOW16" s="279"/>
      <c r="FOX16" s="279"/>
      <c r="FOY16" s="279"/>
      <c r="FOZ16" s="279"/>
      <c r="FPA16" s="279"/>
      <c r="FPB16" s="279"/>
      <c r="FPC16" s="279"/>
      <c r="FPD16" s="279"/>
      <c r="FPE16" s="279"/>
      <c r="FPF16" s="279"/>
      <c r="FPG16" s="279"/>
      <c r="FPH16" s="279"/>
      <c r="FPI16" s="279"/>
      <c r="FPJ16" s="279"/>
      <c r="FPK16" s="279"/>
      <c r="FPL16" s="279"/>
      <c r="FPM16" s="279"/>
      <c r="FPN16" s="279"/>
      <c r="FPO16" s="279"/>
      <c r="FPP16" s="279"/>
      <c r="FPQ16" s="279"/>
      <c r="FPR16" s="279"/>
      <c r="FPS16" s="279"/>
      <c r="FPT16" s="279"/>
      <c r="FPU16" s="279"/>
      <c r="FPV16" s="279"/>
      <c r="FPW16" s="279"/>
      <c r="FPX16" s="279"/>
      <c r="FPY16" s="279"/>
      <c r="FPZ16" s="279"/>
      <c r="FQA16" s="279"/>
      <c r="FQB16" s="279"/>
      <c r="FQC16" s="279"/>
      <c r="FQD16" s="279"/>
      <c r="FQE16" s="279"/>
      <c r="FQF16" s="279"/>
      <c r="FQG16" s="279"/>
      <c r="FQH16" s="279"/>
      <c r="FQI16" s="279"/>
      <c r="FQJ16" s="279"/>
      <c r="FQK16" s="279"/>
      <c r="FQL16" s="279"/>
      <c r="FQM16" s="279"/>
      <c r="FQN16" s="279"/>
      <c r="FQO16" s="279"/>
      <c r="FQP16" s="279"/>
      <c r="FQQ16" s="279"/>
      <c r="FQR16" s="279"/>
      <c r="FQS16" s="279"/>
      <c r="FQT16" s="279"/>
      <c r="FQU16" s="279"/>
      <c r="FQV16" s="279"/>
      <c r="FQW16" s="279"/>
      <c r="FQX16" s="279"/>
      <c r="FQY16" s="279"/>
      <c r="FQZ16" s="279"/>
      <c r="FRA16" s="279"/>
      <c r="FRB16" s="279"/>
      <c r="FRC16" s="279"/>
      <c r="FRD16" s="279"/>
      <c r="FRE16" s="279"/>
      <c r="FRF16" s="279"/>
      <c r="FRG16" s="279"/>
      <c r="FRH16" s="279"/>
      <c r="FRI16" s="279"/>
      <c r="FRJ16" s="279"/>
      <c r="FRK16" s="279"/>
      <c r="FRL16" s="279"/>
      <c r="FRM16" s="279"/>
      <c r="FRN16" s="279"/>
      <c r="FRO16" s="279"/>
      <c r="FRP16" s="279"/>
      <c r="FRQ16" s="279"/>
      <c r="FRR16" s="279"/>
      <c r="FRS16" s="279"/>
      <c r="FRT16" s="279"/>
      <c r="FRU16" s="279"/>
      <c r="FRV16" s="279"/>
      <c r="FRW16" s="279"/>
      <c r="FRX16" s="279"/>
      <c r="FRY16" s="279"/>
      <c r="FRZ16" s="279"/>
      <c r="FSA16" s="279"/>
      <c r="FSB16" s="279"/>
      <c r="FSC16" s="279"/>
      <c r="FSD16" s="279"/>
      <c r="FSE16" s="279"/>
      <c r="FSF16" s="279"/>
      <c r="FSG16" s="279"/>
      <c r="FSH16" s="279"/>
      <c r="FSI16" s="279"/>
      <c r="FSJ16" s="279"/>
      <c r="FSK16" s="279"/>
      <c r="FSL16" s="279"/>
      <c r="FSM16" s="279"/>
      <c r="FSN16" s="279"/>
      <c r="FSO16" s="279"/>
      <c r="FSP16" s="279"/>
      <c r="FSQ16" s="279"/>
      <c r="FSR16" s="279"/>
      <c r="FSS16" s="279"/>
      <c r="FST16" s="279"/>
      <c r="FSU16" s="279"/>
      <c r="FSV16" s="279"/>
      <c r="FSW16" s="279"/>
      <c r="FSX16" s="279"/>
      <c r="FSY16" s="279"/>
      <c r="FSZ16" s="279"/>
      <c r="FTA16" s="279"/>
      <c r="FTB16" s="279"/>
      <c r="FTC16" s="279"/>
      <c r="FTD16" s="279"/>
      <c r="FTE16" s="279"/>
      <c r="FTF16" s="279"/>
      <c r="FTG16" s="279"/>
      <c r="FTH16" s="279"/>
      <c r="FTI16" s="279"/>
      <c r="FTJ16" s="279"/>
      <c r="FTK16" s="279"/>
      <c r="FTL16" s="279"/>
      <c r="FTM16" s="279"/>
      <c r="FTN16" s="279"/>
      <c r="FTO16" s="279"/>
      <c r="FTP16" s="279"/>
      <c r="FTQ16" s="279"/>
      <c r="FTR16" s="279"/>
      <c r="FTS16" s="279"/>
      <c r="FTT16" s="279"/>
      <c r="FTU16" s="279"/>
      <c r="FTV16" s="279"/>
      <c r="FTW16" s="279"/>
      <c r="FTX16" s="279"/>
      <c r="FTY16" s="279"/>
      <c r="FTZ16" s="279"/>
      <c r="FUA16" s="279"/>
      <c r="FUB16" s="279"/>
      <c r="FUC16" s="279"/>
      <c r="FUD16" s="279"/>
      <c r="FUE16" s="279"/>
      <c r="FUF16" s="279"/>
      <c r="FUG16" s="279"/>
      <c r="FUH16" s="279"/>
      <c r="FUI16" s="279"/>
      <c r="FUJ16" s="279"/>
      <c r="FUK16" s="279"/>
      <c r="FUL16" s="279"/>
      <c r="FUM16" s="279"/>
      <c r="FUN16" s="279"/>
      <c r="FUO16" s="279"/>
      <c r="FUP16" s="279"/>
      <c r="FUQ16" s="279"/>
      <c r="FUR16" s="279"/>
      <c r="FUS16" s="279"/>
      <c r="FUT16" s="279"/>
      <c r="FUU16" s="279"/>
      <c r="FUV16" s="279"/>
      <c r="FUW16" s="279"/>
      <c r="FUX16" s="279"/>
      <c r="FUY16" s="279"/>
      <c r="FUZ16" s="279"/>
      <c r="FVA16" s="279"/>
      <c r="FVB16" s="279"/>
      <c r="FVC16" s="279"/>
      <c r="FVD16" s="279"/>
      <c r="FVE16" s="279"/>
      <c r="FVF16" s="279"/>
      <c r="FVG16" s="279"/>
      <c r="FVH16" s="279"/>
      <c r="FVI16" s="279"/>
      <c r="FVJ16" s="279"/>
      <c r="FVK16" s="279"/>
      <c r="FVL16" s="279"/>
      <c r="FVM16" s="279"/>
      <c r="FVN16" s="279"/>
      <c r="FVO16" s="279"/>
      <c r="FVP16" s="279"/>
      <c r="FVQ16" s="279"/>
      <c r="FVR16" s="279"/>
      <c r="FVS16" s="279"/>
      <c r="FVT16" s="279"/>
      <c r="FVU16" s="279"/>
      <c r="FVV16" s="279"/>
      <c r="FVW16" s="279"/>
      <c r="FVX16" s="279"/>
      <c r="FVY16" s="279"/>
      <c r="FVZ16" s="279"/>
      <c r="FWA16" s="279"/>
      <c r="FWB16" s="279"/>
      <c r="FWC16" s="279"/>
      <c r="FWD16" s="279"/>
      <c r="FWE16" s="279"/>
      <c r="FWF16" s="279"/>
      <c r="FWG16" s="279"/>
      <c r="FWH16" s="279"/>
      <c r="FWI16" s="279"/>
      <c r="FWJ16" s="279"/>
      <c r="FWK16" s="279"/>
      <c r="FWL16" s="279"/>
      <c r="FWM16" s="279"/>
      <c r="FWN16" s="279"/>
      <c r="FWO16" s="279"/>
      <c r="FWP16" s="279"/>
      <c r="FWQ16" s="279"/>
      <c r="FWR16" s="279"/>
      <c r="FWS16" s="279"/>
      <c r="FWT16" s="279"/>
      <c r="FWU16" s="279"/>
      <c r="FWV16" s="279"/>
      <c r="FWW16" s="279"/>
      <c r="FWX16" s="279"/>
      <c r="FWY16" s="279"/>
      <c r="FWZ16" s="279"/>
      <c r="FXA16" s="279"/>
      <c r="FXB16" s="279"/>
      <c r="FXC16" s="279"/>
      <c r="FXD16" s="279"/>
      <c r="FXE16" s="279"/>
      <c r="FXF16" s="279"/>
      <c r="FXG16" s="279"/>
      <c r="FXH16" s="279"/>
      <c r="FXI16" s="279"/>
      <c r="FXJ16" s="279"/>
      <c r="FXK16" s="279"/>
      <c r="FXL16" s="279"/>
      <c r="FXM16" s="279"/>
      <c r="FXN16" s="279"/>
      <c r="FXO16" s="279"/>
      <c r="FXP16" s="279"/>
      <c r="FXQ16" s="279"/>
      <c r="FXR16" s="279"/>
      <c r="FXS16" s="279"/>
      <c r="FXT16" s="279"/>
      <c r="FXU16" s="279"/>
      <c r="FXV16" s="279"/>
      <c r="FXW16" s="279"/>
      <c r="FXX16" s="279"/>
      <c r="FXY16" s="279"/>
      <c r="FXZ16" s="279"/>
      <c r="FYA16" s="279"/>
      <c r="FYB16" s="279"/>
      <c r="FYC16" s="279"/>
      <c r="FYD16" s="279"/>
      <c r="FYE16" s="279"/>
      <c r="FYF16" s="279"/>
      <c r="FYG16" s="279"/>
      <c r="FYH16" s="279"/>
      <c r="FYI16" s="279"/>
      <c r="FYJ16" s="279"/>
      <c r="FYK16" s="279"/>
      <c r="FYL16" s="279"/>
      <c r="FYM16" s="279"/>
      <c r="FYN16" s="279"/>
      <c r="FYO16" s="279"/>
      <c r="FYP16" s="279"/>
      <c r="FYQ16" s="279"/>
      <c r="FYR16" s="279"/>
      <c r="FYS16" s="279"/>
      <c r="FYT16" s="279"/>
      <c r="FYU16" s="279"/>
      <c r="FYV16" s="279"/>
      <c r="FYW16" s="279"/>
      <c r="FYX16" s="279"/>
      <c r="FYY16" s="279"/>
      <c r="FYZ16" s="279"/>
      <c r="FZA16" s="279"/>
      <c r="FZB16" s="279"/>
      <c r="FZC16" s="279"/>
      <c r="FZD16" s="279"/>
      <c r="FZE16" s="279"/>
      <c r="FZF16" s="279"/>
      <c r="FZG16" s="279"/>
      <c r="FZH16" s="279"/>
      <c r="FZI16" s="279"/>
      <c r="FZJ16" s="279"/>
      <c r="FZK16" s="279"/>
      <c r="FZL16" s="279"/>
      <c r="FZM16" s="279"/>
      <c r="FZN16" s="279"/>
      <c r="FZO16" s="279"/>
      <c r="FZP16" s="279"/>
      <c r="FZQ16" s="279"/>
      <c r="FZR16" s="279"/>
      <c r="FZS16" s="279"/>
      <c r="FZT16" s="279"/>
      <c r="FZU16" s="279"/>
      <c r="FZV16" s="279"/>
      <c r="FZW16" s="279"/>
      <c r="FZX16" s="279"/>
      <c r="FZY16" s="279"/>
      <c r="FZZ16" s="279"/>
      <c r="GAA16" s="279"/>
      <c r="GAB16" s="279"/>
      <c r="GAC16" s="279"/>
      <c r="GAD16" s="279"/>
      <c r="GAE16" s="279"/>
      <c r="GAF16" s="279"/>
      <c r="GAG16" s="279"/>
      <c r="GAH16" s="279"/>
      <c r="GAI16" s="279"/>
      <c r="GAJ16" s="279"/>
      <c r="GAK16" s="279"/>
      <c r="GAL16" s="279"/>
      <c r="GAM16" s="279"/>
      <c r="GAN16" s="279"/>
      <c r="GAO16" s="279"/>
      <c r="GAP16" s="279"/>
      <c r="GAQ16" s="279"/>
      <c r="GAR16" s="279"/>
      <c r="GAS16" s="279"/>
      <c r="GAT16" s="279"/>
      <c r="GAU16" s="279"/>
      <c r="GAV16" s="279"/>
      <c r="GAW16" s="279"/>
      <c r="GAX16" s="279"/>
      <c r="GAY16" s="279"/>
      <c r="GAZ16" s="279"/>
      <c r="GBA16" s="279"/>
      <c r="GBB16" s="279"/>
      <c r="GBC16" s="279"/>
      <c r="GBD16" s="279"/>
      <c r="GBE16" s="279"/>
      <c r="GBF16" s="279"/>
      <c r="GBG16" s="279"/>
      <c r="GBH16" s="279"/>
      <c r="GBI16" s="279"/>
      <c r="GBJ16" s="279"/>
      <c r="GBK16" s="279"/>
      <c r="GBL16" s="279"/>
      <c r="GBM16" s="279"/>
      <c r="GBN16" s="279"/>
      <c r="GBO16" s="279"/>
      <c r="GBP16" s="279"/>
      <c r="GBQ16" s="279"/>
      <c r="GBR16" s="279"/>
      <c r="GBS16" s="279"/>
      <c r="GBT16" s="279"/>
      <c r="GBU16" s="279"/>
      <c r="GBV16" s="279"/>
      <c r="GBW16" s="279"/>
      <c r="GBX16" s="279"/>
      <c r="GBY16" s="279"/>
      <c r="GBZ16" s="279"/>
      <c r="GCA16" s="279"/>
      <c r="GCB16" s="279"/>
      <c r="GCC16" s="279"/>
      <c r="GCD16" s="279"/>
      <c r="GCE16" s="279"/>
      <c r="GCF16" s="279"/>
      <c r="GCG16" s="279"/>
      <c r="GCH16" s="279"/>
      <c r="GCI16" s="279"/>
      <c r="GCJ16" s="279"/>
      <c r="GCK16" s="279"/>
      <c r="GCL16" s="279"/>
      <c r="GCM16" s="279"/>
      <c r="GCN16" s="279"/>
      <c r="GCO16" s="279"/>
      <c r="GCP16" s="279"/>
      <c r="GCQ16" s="279"/>
      <c r="GCR16" s="279"/>
      <c r="GCS16" s="279"/>
      <c r="GCT16" s="279"/>
      <c r="GCU16" s="279"/>
      <c r="GCV16" s="279"/>
      <c r="GCW16" s="279"/>
      <c r="GCX16" s="279"/>
      <c r="GCY16" s="279"/>
      <c r="GCZ16" s="279"/>
      <c r="GDA16" s="279"/>
      <c r="GDB16" s="279"/>
      <c r="GDC16" s="279"/>
      <c r="GDD16" s="279"/>
      <c r="GDE16" s="279"/>
      <c r="GDF16" s="279"/>
      <c r="GDG16" s="279"/>
      <c r="GDH16" s="279"/>
      <c r="GDI16" s="279"/>
      <c r="GDJ16" s="279"/>
      <c r="GDK16" s="279"/>
      <c r="GDL16" s="279"/>
      <c r="GDM16" s="279"/>
      <c r="GDN16" s="279"/>
      <c r="GDO16" s="279"/>
      <c r="GDP16" s="279"/>
      <c r="GDQ16" s="279"/>
      <c r="GDR16" s="279"/>
      <c r="GDS16" s="279"/>
      <c r="GDT16" s="279"/>
      <c r="GDU16" s="279"/>
      <c r="GDV16" s="279"/>
      <c r="GDW16" s="279"/>
      <c r="GDX16" s="279"/>
      <c r="GDY16" s="279"/>
      <c r="GDZ16" s="279"/>
      <c r="GEA16" s="279"/>
      <c r="GEB16" s="279"/>
      <c r="GEC16" s="279"/>
      <c r="GED16" s="279"/>
      <c r="GEE16" s="279"/>
      <c r="GEF16" s="279"/>
      <c r="GEG16" s="279"/>
      <c r="GEH16" s="279"/>
      <c r="GEI16" s="279"/>
      <c r="GEJ16" s="279"/>
      <c r="GEK16" s="279"/>
      <c r="GEL16" s="279"/>
      <c r="GEM16" s="279"/>
      <c r="GEN16" s="279"/>
      <c r="GEO16" s="279"/>
      <c r="GEP16" s="279"/>
      <c r="GEQ16" s="279"/>
      <c r="GER16" s="279"/>
      <c r="GES16" s="279"/>
      <c r="GET16" s="279"/>
      <c r="GEU16" s="279"/>
      <c r="GEV16" s="279"/>
      <c r="GEW16" s="279"/>
      <c r="GEX16" s="279"/>
      <c r="GEY16" s="279"/>
      <c r="GEZ16" s="279"/>
      <c r="GFA16" s="279"/>
      <c r="GFB16" s="279"/>
      <c r="GFC16" s="279"/>
      <c r="GFD16" s="279"/>
      <c r="GFE16" s="279"/>
      <c r="GFF16" s="279"/>
      <c r="GFG16" s="279"/>
      <c r="GFH16" s="279"/>
      <c r="GFI16" s="279"/>
      <c r="GFJ16" s="279"/>
      <c r="GFK16" s="279"/>
      <c r="GFL16" s="279"/>
      <c r="GFM16" s="279"/>
      <c r="GFN16" s="279"/>
      <c r="GFO16" s="279"/>
      <c r="GFP16" s="279"/>
      <c r="GFQ16" s="279"/>
      <c r="GFR16" s="279"/>
      <c r="GFS16" s="279"/>
      <c r="GFT16" s="279"/>
      <c r="GFU16" s="279"/>
      <c r="GFV16" s="279"/>
      <c r="GFW16" s="279"/>
      <c r="GFX16" s="279"/>
      <c r="GFY16" s="279"/>
      <c r="GFZ16" s="279"/>
      <c r="GGA16" s="279"/>
      <c r="GGB16" s="279"/>
      <c r="GGC16" s="279"/>
      <c r="GGD16" s="279"/>
      <c r="GGE16" s="279"/>
      <c r="GGF16" s="279"/>
      <c r="GGG16" s="279"/>
      <c r="GGH16" s="279"/>
      <c r="GGI16" s="279"/>
      <c r="GGJ16" s="279"/>
      <c r="GGK16" s="279"/>
      <c r="GGL16" s="279"/>
      <c r="GGM16" s="279"/>
      <c r="GGN16" s="279"/>
      <c r="GGO16" s="279"/>
      <c r="GGP16" s="279"/>
      <c r="GGQ16" s="279"/>
      <c r="GGR16" s="279"/>
      <c r="GGS16" s="279"/>
      <c r="GGT16" s="279"/>
      <c r="GGU16" s="279"/>
      <c r="GGV16" s="279"/>
      <c r="GGW16" s="279"/>
      <c r="GGX16" s="279"/>
      <c r="GGY16" s="279"/>
      <c r="GGZ16" s="279"/>
      <c r="GHA16" s="279"/>
      <c r="GHB16" s="279"/>
      <c r="GHC16" s="279"/>
      <c r="GHD16" s="279"/>
      <c r="GHE16" s="279"/>
      <c r="GHF16" s="279"/>
      <c r="GHG16" s="279"/>
      <c r="GHH16" s="279"/>
      <c r="GHI16" s="279"/>
      <c r="GHJ16" s="279"/>
      <c r="GHK16" s="279"/>
      <c r="GHL16" s="279"/>
      <c r="GHM16" s="279"/>
      <c r="GHN16" s="279"/>
      <c r="GHO16" s="279"/>
      <c r="GHP16" s="279"/>
      <c r="GHQ16" s="279"/>
      <c r="GHR16" s="279"/>
      <c r="GHS16" s="279"/>
      <c r="GHT16" s="279"/>
      <c r="GHU16" s="279"/>
      <c r="GHV16" s="279"/>
      <c r="GHW16" s="279"/>
      <c r="GHX16" s="279"/>
      <c r="GHY16" s="279"/>
      <c r="GHZ16" s="279"/>
      <c r="GIA16" s="279"/>
      <c r="GIB16" s="279"/>
      <c r="GIC16" s="279"/>
      <c r="GID16" s="279"/>
      <c r="GIE16" s="279"/>
      <c r="GIF16" s="279"/>
      <c r="GIG16" s="279"/>
      <c r="GIH16" s="279"/>
      <c r="GII16" s="279"/>
      <c r="GIJ16" s="279"/>
      <c r="GIK16" s="279"/>
      <c r="GIL16" s="279"/>
      <c r="GIM16" s="279"/>
      <c r="GIN16" s="279"/>
      <c r="GIO16" s="279"/>
      <c r="GIP16" s="279"/>
      <c r="GIQ16" s="279"/>
      <c r="GIR16" s="279"/>
      <c r="GIS16" s="279"/>
      <c r="GIT16" s="279"/>
      <c r="GIU16" s="279"/>
      <c r="GIV16" s="279"/>
      <c r="GIW16" s="279"/>
      <c r="GIX16" s="279"/>
      <c r="GIY16" s="279"/>
      <c r="GIZ16" s="279"/>
      <c r="GJA16" s="279"/>
      <c r="GJB16" s="279"/>
      <c r="GJC16" s="279"/>
      <c r="GJD16" s="279"/>
      <c r="GJE16" s="279"/>
      <c r="GJF16" s="279"/>
      <c r="GJG16" s="279"/>
      <c r="GJH16" s="279"/>
      <c r="GJI16" s="279"/>
      <c r="GJJ16" s="279"/>
      <c r="GJK16" s="279"/>
      <c r="GJL16" s="279"/>
      <c r="GJM16" s="279"/>
      <c r="GJN16" s="279"/>
      <c r="GJO16" s="279"/>
      <c r="GJP16" s="279"/>
      <c r="GJQ16" s="279"/>
      <c r="GJR16" s="279"/>
      <c r="GJS16" s="279"/>
      <c r="GJT16" s="279"/>
      <c r="GJU16" s="279"/>
      <c r="GJV16" s="279"/>
      <c r="GJW16" s="279"/>
      <c r="GJX16" s="279"/>
      <c r="GJY16" s="279"/>
      <c r="GJZ16" s="279"/>
      <c r="GKA16" s="279"/>
      <c r="GKB16" s="279"/>
      <c r="GKC16" s="279"/>
      <c r="GKD16" s="279"/>
      <c r="GKE16" s="279"/>
      <c r="GKF16" s="279"/>
      <c r="GKG16" s="279"/>
      <c r="GKH16" s="279"/>
      <c r="GKI16" s="279"/>
      <c r="GKJ16" s="279"/>
      <c r="GKK16" s="279"/>
      <c r="GKL16" s="279"/>
      <c r="GKM16" s="279"/>
      <c r="GKN16" s="279"/>
      <c r="GKO16" s="279"/>
      <c r="GKP16" s="279"/>
      <c r="GKQ16" s="279"/>
      <c r="GKR16" s="279"/>
      <c r="GKS16" s="279"/>
      <c r="GKT16" s="279"/>
      <c r="GKU16" s="279"/>
      <c r="GKV16" s="279"/>
      <c r="GKW16" s="279"/>
      <c r="GKX16" s="279"/>
      <c r="GKY16" s="279"/>
      <c r="GKZ16" s="279"/>
      <c r="GLA16" s="279"/>
      <c r="GLB16" s="279"/>
      <c r="GLC16" s="279"/>
      <c r="GLD16" s="279"/>
      <c r="GLE16" s="279"/>
      <c r="GLF16" s="279"/>
      <c r="GLG16" s="279"/>
      <c r="GLH16" s="279"/>
      <c r="GLI16" s="279"/>
      <c r="GLJ16" s="279"/>
      <c r="GLK16" s="279"/>
      <c r="GLL16" s="279"/>
      <c r="GLM16" s="279"/>
      <c r="GLN16" s="279"/>
      <c r="GLO16" s="279"/>
      <c r="GLP16" s="279"/>
      <c r="GLQ16" s="279"/>
      <c r="GLR16" s="279"/>
      <c r="GLS16" s="279"/>
      <c r="GLT16" s="279"/>
      <c r="GLU16" s="279"/>
      <c r="GLV16" s="279"/>
      <c r="GLW16" s="279"/>
      <c r="GLX16" s="279"/>
      <c r="GLY16" s="279"/>
      <c r="GLZ16" s="279"/>
      <c r="GMA16" s="279"/>
      <c r="GMB16" s="279"/>
      <c r="GMC16" s="279"/>
      <c r="GMD16" s="279"/>
      <c r="GME16" s="279"/>
      <c r="GMF16" s="279"/>
      <c r="GMG16" s="279"/>
      <c r="GMH16" s="279"/>
      <c r="GMI16" s="279"/>
      <c r="GMJ16" s="279"/>
      <c r="GMK16" s="279"/>
      <c r="GML16" s="279"/>
      <c r="GMM16" s="279"/>
      <c r="GMN16" s="279"/>
      <c r="GMO16" s="279"/>
      <c r="GMP16" s="279"/>
      <c r="GMQ16" s="279"/>
      <c r="GMR16" s="279"/>
      <c r="GMS16" s="279"/>
      <c r="GMT16" s="279"/>
      <c r="GMU16" s="279"/>
      <c r="GMV16" s="279"/>
      <c r="GMW16" s="279"/>
      <c r="GMX16" s="279"/>
      <c r="GMY16" s="279"/>
      <c r="GMZ16" s="279"/>
      <c r="GNA16" s="279"/>
      <c r="GNB16" s="279"/>
      <c r="GNC16" s="279"/>
      <c r="GND16" s="279"/>
      <c r="GNE16" s="279"/>
      <c r="GNF16" s="279"/>
      <c r="GNG16" s="279"/>
      <c r="GNH16" s="279"/>
      <c r="GNI16" s="279"/>
      <c r="GNJ16" s="279"/>
      <c r="GNK16" s="279"/>
      <c r="GNL16" s="279"/>
      <c r="GNM16" s="279"/>
      <c r="GNN16" s="279"/>
      <c r="GNO16" s="279"/>
      <c r="GNP16" s="279"/>
      <c r="GNQ16" s="279"/>
      <c r="GNR16" s="279"/>
      <c r="GNS16" s="279"/>
      <c r="GNT16" s="279"/>
      <c r="GNU16" s="279"/>
      <c r="GNV16" s="279"/>
      <c r="GNW16" s="279"/>
      <c r="GNX16" s="279"/>
      <c r="GNY16" s="279"/>
      <c r="GNZ16" s="279"/>
      <c r="GOA16" s="279"/>
      <c r="GOB16" s="279"/>
      <c r="GOC16" s="279"/>
      <c r="GOD16" s="279"/>
      <c r="GOE16" s="279"/>
      <c r="GOF16" s="279"/>
      <c r="GOG16" s="279"/>
      <c r="GOH16" s="279"/>
      <c r="GOI16" s="279"/>
      <c r="GOJ16" s="279"/>
      <c r="GOK16" s="279"/>
      <c r="GOL16" s="279"/>
      <c r="GOM16" s="279"/>
      <c r="GON16" s="279"/>
      <c r="GOO16" s="279"/>
      <c r="GOP16" s="279"/>
      <c r="GOQ16" s="279"/>
      <c r="GOR16" s="279"/>
      <c r="GOS16" s="279"/>
      <c r="GOT16" s="279"/>
      <c r="GOU16" s="279"/>
      <c r="GOV16" s="279"/>
      <c r="GOW16" s="279"/>
      <c r="GOX16" s="279"/>
      <c r="GOY16" s="279"/>
      <c r="GOZ16" s="279"/>
      <c r="GPA16" s="279"/>
      <c r="GPB16" s="279"/>
      <c r="GPC16" s="279"/>
      <c r="GPD16" s="279"/>
      <c r="GPE16" s="279"/>
      <c r="GPF16" s="279"/>
      <c r="GPG16" s="279"/>
      <c r="GPH16" s="279"/>
      <c r="GPI16" s="279"/>
      <c r="GPJ16" s="279"/>
      <c r="GPK16" s="279"/>
      <c r="GPL16" s="279"/>
      <c r="GPM16" s="279"/>
      <c r="GPN16" s="279"/>
      <c r="GPO16" s="279"/>
      <c r="GPP16" s="279"/>
      <c r="GPQ16" s="279"/>
      <c r="GPR16" s="279"/>
      <c r="GPS16" s="279"/>
      <c r="GPT16" s="279"/>
      <c r="GPU16" s="279"/>
      <c r="GPV16" s="279"/>
      <c r="GPW16" s="279"/>
      <c r="GPX16" s="279"/>
      <c r="GPY16" s="279"/>
      <c r="GPZ16" s="279"/>
      <c r="GQA16" s="279"/>
      <c r="GQB16" s="279"/>
      <c r="GQC16" s="279"/>
      <c r="GQD16" s="279"/>
      <c r="GQE16" s="279"/>
      <c r="GQF16" s="279"/>
      <c r="GQG16" s="279"/>
      <c r="GQH16" s="279"/>
      <c r="GQI16" s="279"/>
      <c r="GQJ16" s="279"/>
      <c r="GQK16" s="279"/>
      <c r="GQL16" s="279"/>
      <c r="GQM16" s="279"/>
      <c r="GQN16" s="279"/>
      <c r="GQO16" s="279"/>
      <c r="GQP16" s="279"/>
      <c r="GQQ16" s="279"/>
      <c r="GQR16" s="279"/>
      <c r="GQS16" s="279"/>
      <c r="GQT16" s="279"/>
      <c r="GQU16" s="279"/>
      <c r="GQV16" s="279"/>
      <c r="GQW16" s="279"/>
      <c r="GQX16" s="279"/>
      <c r="GQY16" s="279"/>
      <c r="GQZ16" s="279"/>
      <c r="GRA16" s="279"/>
      <c r="GRB16" s="279"/>
      <c r="GRC16" s="279"/>
      <c r="GRD16" s="279"/>
      <c r="GRE16" s="279"/>
      <c r="GRF16" s="279"/>
      <c r="GRG16" s="279"/>
      <c r="GRH16" s="279"/>
      <c r="GRI16" s="279"/>
      <c r="GRJ16" s="279"/>
      <c r="GRK16" s="279"/>
      <c r="GRL16" s="279"/>
      <c r="GRM16" s="279"/>
      <c r="GRN16" s="279"/>
      <c r="GRO16" s="279"/>
      <c r="GRP16" s="279"/>
      <c r="GRQ16" s="279"/>
      <c r="GRR16" s="279"/>
      <c r="GRS16" s="279"/>
      <c r="GRT16" s="279"/>
      <c r="GRU16" s="279"/>
      <c r="GRV16" s="279"/>
      <c r="GRW16" s="279"/>
      <c r="GRX16" s="279"/>
      <c r="GRY16" s="279"/>
      <c r="GRZ16" s="279"/>
      <c r="GSA16" s="279"/>
      <c r="GSB16" s="279"/>
      <c r="GSC16" s="279"/>
      <c r="GSD16" s="279"/>
      <c r="GSE16" s="279"/>
      <c r="GSF16" s="279"/>
      <c r="GSG16" s="279"/>
      <c r="GSH16" s="279"/>
      <c r="GSI16" s="279"/>
      <c r="GSJ16" s="279"/>
      <c r="GSK16" s="279"/>
      <c r="GSL16" s="279"/>
      <c r="GSM16" s="279"/>
      <c r="GSN16" s="279"/>
      <c r="GSO16" s="279"/>
      <c r="GSP16" s="279"/>
      <c r="GSQ16" s="279"/>
      <c r="GSR16" s="279"/>
      <c r="GSS16" s="279"/>
      <c r="GST16" s="279"/>
      <c r="GSU16" s="279"/>
      <c r="GSV16" s="279"/>
      <c r="GSW16" s="279"/>
      <c r="GSX16" s="279"/>
      <c r="GSY16" s="279"/>
      <c r="GSZ16" s="279"/>
      <c r="GTA16" s="279"/>
      <c r="GTB16" s="279"/>
      <c r="GTC16" s="279"/>
      <c r="GTD16" s="279"/>
      <c r="GTE16" s="279"/>
      <c r="GTF16" s="279"/>
      <c r="GTG16" s="279"/>
      <c r="GTH16" s="279"/>
      <c r="GTI16" s="279"/>
      <c r="GTJ16" s="279"/>
      <c r="GTK16" s="279"/>
      <c r="GTL16" s="279"/>
      <c r="GTM16" s="279"/>
      <c r="GTN16" s="279"/>
      <c r="GTO16" s="279"/>
      <c r="GTP16" s="279"/>
      <c r="GTQ16" s="279"/>
      <c r="GTR16" s="279"/>
      <c r="GTS16" s="279"/>
      <c r="GTT16" s="279"/>
      <c r="GTU16" s="279"/>
      <c r="GTV16" s="279"/>
      <c r="GTW16" s="279"/>
      <c r="GTX16" s="279"/>
      <c r="GTY16" s="279"/>
      <c r="GTZ16" s="279"/>
      <c r="GUA16" s="279"/>
      <c r="GUB16" s="279"/>
      <c r="GUC16" s="279"/>
      <c r="GUD16" s="279"/>
      <c r="GUE16" s="279"/>
      <c r="GUF16" s="279"/>
      <c r="GUG16" s="279"/>
      <c r="GUH16" s="279"/>
      <c r="GUI16" s="279"/>
      <c r="GUJ16" s="279"/>
      <c r="GUK16" s="279"/>
      <c r="GUL16" s="279"/>
      <c r="GUM16" s="279"/>
      <c r="GUN16" s="279"/>
      <c r="GUO16" s="279"/>
      <c r="GUP16" s="279"/>
      <c r="GUQ16" s="279"/>
      <c r="GUR16" s="279"/>
      <c r="GUS16" s="279"/>
      <c r="GUT16" s="279"/>
      <c r="GUU16" s="279"/>
      <c r="GUV16" s="279"/>
      <c r="GUW16" s="279"/>
      <c r="GUX16" s="279"/>
      <c r="GUY16" s="279"/>
      <c r="GUZ16" s="279"/>
      <c r="GVA16" s="279"/>
      <c r="GVB16" s="279"/>
      <c r="GVC16" s="279"/>
      <c r="GVD16" s="279"/>
      <c r="GVE16" s="279"/>
      <c r="GVF16" s="279"/>
      <c r="GVG16" s="279"/>
      <c r="GVH16" s="279"/>
      <c r="GVI16" s="279"/>
      <c r="GVJ16" s="279"/>
      <c r="GVK16" s="279"/>
      <c r="GVL16" s="279"/>
      <c r="GVM16" s="279"/>
      <c r="GVN16" s="279"/>
      <c r="GVO16" s="279"/>
      <c r="GVP16" s="279"/>
      <c r="GVQ16" s="279"/>
      <c r="GVR16" s="279"/>
      <c r="GVS16" s="279"/>
      <c r="GVT16" s="279"/>
      <c r="GVU16" s="279"/>
      <c r="GVV16" s="279"/>
      <c r="GVW16" s="279"/>
      <c r="GVX16" s="279"/>
      <c r="GVY16" s="279"/>
      <c r="GVZ16" s="279"/>
      <c r="GWA16" s="279"/>
      <c r="GWB16" s="279"/>
      <c r="GWC16" s="279"/>
      <c r="GWD16" s="279"/>
      <c r="GWE16" s="279"/>
      <c r="GWF16" s="279"/>
      <c r="GWG16" s="279"/>
      <c r="GWH16" s="279"/>
      <c r="GWI16" s="279"/>
      <c r="GWJ16" s="279"/>
      <c r="GWK16" s="279"/>
      <c r="GWL16" s="279"/>
      <c r="GWM16" s="279"/>
      <c r="GWN16" s="279"/>
      <c r="GWO16" s="279"/>
      <c r="GWP16" s="279"/>
      <c r="GWQ16" s="279"/>
      <c r="GWR16" s="279"/>
      <c r="GWS16" s="279"/>
      <c r="GWT16" s="279"/>
      <c r="GWU16" s="279"/>
      <c r="GWV16" s="279"/>
      <c r="GWW16" s="279"/>
      <c r="GWX16" s="279"/>
      <c r="GWY16" s="279"/>
      <c r="GWZ16" s="279"/>
      <c r="GXA16" s="279"/>
      <c r="GXB16" s="279"/>
      <c r="GXC16" s="279"/>
      <c r="GXD16" s="279"/>
      <c r="GXE16" s="279"/>
      <c r="GXF16" s="279"/>
      <c r="GXG16" s="279"/>
      <c r="GXH16" s="279"/>
      <c r="GXI16" s="279"/>
      <c r="GXJ16" s="279"/>
      <c r="GXK16" s="279"/>
      <c r="GXL16" s="279"/>
      <c r="GXM16" s="279"/>
      <c r="GXN16" s="279"/>
      <c r="GXO16" s="279"/>
      <c r="GXP16" s="279"/>
      <c r="GXQ16" s="279"/>
      <c r="GXR16" s="279"/>
      <c r="GXS16" s="279"/>
      <c r="GXT16" s="279"/>
      <c r="GXU16" s="279"/>
      <c r="GXV16" s="279"/>
      <c r="GXW16" s="279"/>
      <c r="GXX16" s="279"/>
      <c r="GXY16" s="279"/>
      <c r="GXZ16" s="279"/>
      <c r="GYA16" s="279"/>
      <c r="GYB16" s="279"/>
      <c r="GYC16" s="279"/>
      <c r="GYD16" s="279"/>
      <c r="GYE16" s="279"/>
      <c r="GYF16" s="279"/>
      <c r="GYG16" s="279"/>
      <c r="GYH16" s="279"/>
      <c r="GYI16" s="279"/>
      <c r="GYJ16" s="279"/>
      <c r="GYK16" s="279"/>
      <c r="GYL16" s="279"/>
      <c r="GYM16" s="279"/>
      <c r="GYN16" s="279"/>
      <c r="GYO16" s="279"/>
      <c r="GYP16" s="279"/>
      <c r="GYQ16" s="279"/>
      <c r="GYR16" s="279"/>
      <c r="GYS16" s="279"/>
      <c r="GYT16" s="279"/>
      <c r="GYU16" s="279"/>
      <c r="GYV16" s="279"/>
      <c r="GYW16" s="279"/>
      <c r="GYX16" s="279"/>
      <c r="GYY16" s="279"/>
      <c r="GYZ16" s="279"/>
      <c r="GZA16" s="279"/>
      <c r="GZB16" s="279"/>
      <c r="GZC16" s="279"/>
      <c r="GZD16" s="279"/>
      <c r="GZE16" s="279"/>
      <c r="GZF16" s="279"/>
      <c r="GZG16" s="279"/>
      <c r="GZH16" s="279"/>
      <c r="GZI16" s="279"/>
      <c r="GZJ16" s="279"/>
      <c r="GZK16" s="279"/>
      <c r="GZL16" s="279"/>
      <c r="GZM16" s="279"/>
      <c r="GZN16" s="279"/>
      <c r="GZO16" s="279"/>
      <c r="GZP16" s="279"/>
      <c r="GZQ16" s="279"/>
      <c r="GZR16" s="279"/>
      <c r="GZS16" s="279"/>
      <c r="GZT16" s="279"/>
      <c r="GZU16" s="279"/>
      <c r="GZV16" s="279"/>
      <c r="GZW16" s="279"/>
      <c r="GZX16" s="279"/>
      <c r="GZY16" s="279"/>
      <c r="GZZ16" s="279"/>
      <c r="HAA16" s="279"/>
      <c r="HAB16" s="279"/>
      <c r="HAC16" s="279"/>
      <c r="HAD16" s="279"/>
      <c r="HAE16" s="279"/>
      <c r="HAF16" s="279"/>
      <c r="HAG16" s="279"/>
      <c r="HAH16" s="279"/>
      <c r="HAI16" s="279"/>
      <c r="HAJ16" s="279"/>
      <c r="HAK16" s="279"/>
      <c r="HAL16" s="279"/>
      <c r="HAM16" s="279"/>
      <c r="HAN16" s="279"/>
      <c r="HAO16" s="279"/>
      <c r="HAP16" s="279"/>
      <c r="HAQ16" s="279"/>
      <c r="HAR16" s="279"/>
      <c r="HAS16" s="279"/>
      <c r="HAT16" s="279"/>
      <c r="HAU16" s="279"/>
      <c r="HAV16" s="279"/>
      <c r="HAW16" s="279"/>
      <c r="HAX16" s="279"/>
      <c r="HAY16" s="279"/>
      <c r="HAZ16" s="279"/>
      <c r="HBA16" s="279"/>
      <c r="HBB16" s="279"/>
      <c r="HBC16" s="279"/>
      <c r="HBD16" s="279"/>
      <c r="HBE16" s="279"/>
      <c r="HBF16" s="279"/>
      <c r="HBG16" s="279"/>
      <c r="HBH16" s="279"/>
      <c r="HBI16" s="279"/>
      <c r="HBJ16" s="279"/>
      <c r="HBK16" s="279"/>
      <c r="HBL16" s="279"/>
      <c r="HBM16" s="279"/>
      <c r="HBN16" s="279"/>
      <c r="HBO16" s="279"/>
      <c r="HBP16" s="279"/>
      <c r="HBQ16" s="279"/>
      <c r="HBR16" s="279"/>
      <c r="HBS16" s="279"/>
      <c r="HBT16" s="279"/>
      <c r="HBU16" s="279"/>
      <c r="HBV16" s="279"/>
      <c r="HBW16" s="279"/>
      <c r="HBX16" s="279"/>
      <c r="HBY16" s="279"/>
      <c r="HBZ16" s="279"/>
      <c r="HCA16" s="279"/>
      <c r="HCB16" s="279"/>
      <c r="HCC16" s="279"/>
      <c r="HCD16" s="279"/>
      <c r="HCE16" s="279"/>
      <c r="HCF16" s="279"/>
      <c r="HCG16" s="279"/>
      <c r="HCH16" s="279"/>
      <c r="HCI16" s="279"/>
      <c r="HCJ16" s="279"/>
      <c r="HCK16" s="279"/>
      <c r="HCL16" s="279"/>
      <c r="HCM16" s="279"/>
      <c r="HCN16" s="279"/>
      <c r="HCO16" s="279"/>
      <c r="HCP16" s="279"/>
      <c r="HCQ16" s="279"/>
      <c r="HCR16" s="279"/>
      <c r="HCS16" s="279"/>
      <c r="HCT16" s="279"/>
      <c r="HCU16" s="279"/>
      <c r="HCV16" s="279"/>
      <c r="HCW16" s="279"/>
      <c r="HCX16" s="279"/>
      <c r="HCY16" s="279"/>
      <c r="HCZ16" s="279"/>
      <c r="HDA16" s="279"/>
      <c r="HDB16" s="279"/>
      <c r="HDC16" s="279"/>
      <c r="HDD16" s="279"/>
      <c r="HDE16" s="279"/>
      <c r="HDF16" s="279"/>
      <c r="HDG16" s="279"/>
      <c r="HDH16" s="279"/>
      <c r="HDI16" s="279"/>
      <c r="HDJ16" s="279"/>
      <c r="HDK16" s="279"/>
      <c r="HDL16" s="279"/>
      <c r="HDM16" s="279"/>
      <c r="HDN16" s="279"/>
      <c r="HDO16" s="279"/>
      <c r="HDP16" s="279"/>
      <c r="HDQ16" s="279"/>
      <c r="HDR16" s="279"/>
      <c r="HDS16" s="279"/>
      <c r="HDT16" s="279"/>
      <c r="HDU16" s="279"/>
      <c r="HDV16" s="279"/>
      <c r="HDW16" s="279"/>
      <c r="HDX16" s="279"/>
      <c r="HDY16" s="279"/>
      <c r="HDZ16" s="279"/>
      <c r="HEA16" s="279"/>
      <c r="HEB16" s="279"/>
      <c r="HEC16" s="279"/>
      <c r="HED16" s="279"/>
      <c r="HEE16" s="279"/>
      <c r="HEF16" s="279"/>
      <c r="HEG16" s="279"/>
      <c r="HEH16" s="279"/>
      <c r="HEI16" s="279"/>
      <c r="HEJ16" s="279"/>
      <c r="HEK16" s="279"/>
      <c r="HEL16" s="279"/>
      <c r="HEM16" s="279"/>
      <c r="HEN16" s="279"/>
      <c r="HEO16" s="279"/>
      <c r="HEP16" s="279"/>
      <c r="HEQ16" s="279"/>
      <c r="HER16" s="279"/>
      <c r="HES16" s="279"/>
      <c r="HET16" s="279"/>
      <c r="HEU16" s="279"/>
      <c r="HEV16" s="279"/>
      <c r="HEW16" s="279"/>
      <c r="HEX16" s="279"/>
      <c r="HEY16" s="279"/>
      <c r="HEZ16" s="279"/>
      <c r="HFA16" s="279"/>
      <c r="HFB16" s="279"/>
      <c r="HFC16" s="279"/>
      <c r="HFD16" s="279"/>
      <c r="HFE16" s="279"/>
      <c r="HFF16" s="279"/>
      <c r="HFG16" s="279"/>
      <c r="HFH16" s="279"/>
      <c r="HFI16" s="279"/>
      <c r="HFJ16" s="279"/>
      <c r="HFK16" s="279"/>
      <c r="HFL16" s="279"/>
      <c r="HFM16" s="279"/>
      <c r="HFN16" s="279"/>
      <c r="HFO16" s="279"/>
      <c r="HFP16" s="279"/>
      <c r="HFQ16" s="279"/>
      <c r="HFR16" s="279"/>
      <c r="HFS16" s="279"/>
      <c r="HFT16" s="279"/>
      <c r="HFU16" s="279"/>
      <c r="HFV16" s="279"/>
      <c r="HFW16" s="279"/>
      <c r="HFX16" s="279"/>
      <c r="HFY16" s="279"/>
      <c r="HFZ16" s="279"/>
      <c r="HGA16" s="279"/>
      <c r="HGB16" s="279"/>
      <c r="HGC16" s="279"/>
      <c r="HGD16" s="279"/>
      <c r="HGE16" s="279"/>
      <c r="HGF16" s="279"/>
      <c r="HGG16" s="279"/>
      <c r="HGH16" s="279"/>
      <c r="HGI16" s="279"/>
      <c r="HGJ16" s="279"/>
      <c r="HGK16" s="279"/>
      <c r="HGL16" s="279"/>
      <c r="HGM16" s="279"/>
      <c r="HGN16" s="279"/>
      <c r="HGO16" s="279"/>
      <c r="HGP16" s="279"/>
      <c r="HGQ16" s="279"/>
      <c r="HGR16" s="279"/>
      <c r="HGS16" s="279"/>
      <c r="HGT16" s="279"/>
      <c r="HGU16" s="279"/>
      <c r="HGV16" s="279"/>
      <c r="HGW16" s="279"/>
      <c r="HGX16" s="279"/>
      <c r="HGY16" s="279"/>
      <c r="HGZ16" s="279"/>
      <c r="HHA16" s="279"/>
      <c r="HHB16" s="279"/>
      <c r="HHC16" s="279"/>
      <c r="HHD16" s="279"/>
      <c r="HHE16" s="279"/>
      <c r="HHF16" s="279"/>
      <c r="HHG16" s="279"/>
      <c r="HHH16" s="279"/>
      <c r="HHI16" s="279"/>
      <c r="HHJ16" s="279"/>
      <c r="HHK16" s="279"/>
      <c r="HHL16" s="279"/>
      <c r="HHM16" s="279"/>
      <c r="HHN16" s="279"/>
      <c r="HHO16" s="279"/>
      <c r="HHP16" s="279"/>
      <c r="HHQ16" s="279"/>
      <c r="HHR16" s="279"/>
      <c r="HHS16" s="279"/>
      <c r="HHT16" s="279"/>
      <c r="HHU16" s="279"/>
      <c r="HHV16" s="279"/>
      <c r="HHW16" s="279"/>
      <c r="HHX16" s="279"/>
      <c r="HHY16" s="279"/>
      <c r="HHZ16" s="279"/>
      <c r="HIA16" s="279"/>
      <c r="HIB16" s="279"/>
      <c r="HIC16" s="279"/>
      <c r="HID16" s="279"/>
      <c r="HIE16" s="279"/>
      <c r="HIF16" s="279"/>
      <c r="HIG16" s="279"/>
      <c r="HIH16" s="279"/>
      <c r="HII16" s="279"/>
      <c r="HIJ16" s="279"/>
      <c r="HIK16" s="279"/>
      <c r="HIL16" s="279"/>
      <c r="HIM16" s="279"/>
      <c r="HIN16" s="279"/>
      <c r="HIO16" s="279"/>
      <c r="HIP16" s="279"/>
      <c r="HIQ16" s="279"/>
      <c r="HIR16" s="279"/>
      <c r="HIS16" s="279"/>
      <c r="HIT16" s="279"/>
      <c r="HIU16" s="279"/>
      <c r="HIV16" s="279"/>
      <c r="HIW16" s="279"/>
      <c r="HIX16" s="279"/>
      <c r="HIY16" s="279"/>
      <c r="HIZ16" s="279"/>
      <c r="HJA16" s="279"/>
      <c r="HJB16" s="279"/>
      <c r="HJC16" s="279"/>
      <c r="HJD16" s="279"/>
      <c r="HJE16" s="279"/>
      <c r="HJF16" s="279"/>
      <c r="HJG16" s="279"/>
      <c r="HJH16" s="279"/>
      <c r="HJI16" s="279"/>
      <c r="HJJ16" s="279"/>
      <c r="HJK16" s="279"/>
      <c r="HJL16" s="279"/>
      <c r="HJM16" s="279"/>
      <c r="HJN16" s="279"/>
      <c r="HJO16" s="279"/>
      <c r="HJP16" s="279"/>
      <c r="HJQ16" s="279"/>
      <c r="HJR16" s="279"/>
      <c r="HJS16" s="279"/>
      <c r="HJT16" s="279"/>
      <c r="HJU16" s="279"/>
      <c r="HJV16" s="279"/>
      <c r="HJW16" s="279"/>
      <c r="HJX16" s="279"/>
      <c r="HJY16" s="279"/>
      <c r="HJZ16" s="279"/>
      <c r="HKA16" s="279"/>
      <c r="HKB16" s="279"/>
      <c r="HKC16" s="279"/>
      <c r="HKD16" s="279"/>
      <c r="HKE16" s="279"/>
      <c r="HKF16" s="279"/>
      <c r="HKG16" s="279"/>
      <c r="HKH16" s="279"/>
      <c r="HKI16" s="279"/>
      <c r="HKJ16" s="279"/>
      <c r="HKK16" s="279"/>
      <c r="HKL16" s="279"/>
      <c r="HKM16" s="279"/>
      <c r="HKN16" s="279"/>
      <c r="HKO16" s="279"/>
      <c r="HKP16" s="279"/>
      <c r="HKQ16" s="279"/>
      <c r="HKR16" s="279"/>
      <c r="HKS16" s="279"/>
      <c r="HKT16" s="279"/>
      <c r="HKU16" s="279"/>
      <c r="HKV16" s="279"/>
      <c r="HKW16" s="279"/>
      <c r="HKX16" s="279"/>
      <c r="HKY16" s="279"/>
      <c r="HKZ16" s="279"/>
      <c r="HLA16" s="279"/>
      <c r="HLB16" s="279"/>
      <c r="HLC16" s="279"/>
      <c r="HLD16" s="279"/>
      <c r="HLE16" s="279"/>
      <c r="HLF16" s="279"/>
      <c r="HLG16" s="279"/>
      <c r="HLH16" s="279"/>
      <c r="HLI16" s="279"/>
      <c r="HLJ16" s="279"/>
      <c r="HLK16" s="279"/>
      <c r="HLL16" s="279"/>
      <c r="HLM16" s="279"/>
      <c r="HLN16" s="279"/>
      <c r="HLO16" s="279"/>
      <c r="HLP16" s="279"/>
      <c r="HLQ16" s="279"/>
      <c r="HLR16" s="279"/>
      <c r="HLS16" s="279"/>
      <c r="HLT16" s="279"/>
      <c r="HLU16" s="279"/>
      <c r="HLV16" s="279"/>
      <c r="HLW16" s="279"/>
      <c r="HLX16" s="279"/>
      <c r="HLY16" s="279"/>
      <c r="HLZ16" s="279"/>
      <c r="HMA16" s="279"/>
      <c r="HMB16" s="279"/>
      <c r="HMC16" s="279"/>
      <c r="HMD16" s="279"/>
      <c r="HME16" s="279"/>
      <c r="HMF16" s="279"/>
      <c r="HMG16" s="279"/>
      <c r="HMH16" s="279"/>
      <c r="HMI16" s="279"/>
      <c r="HMJ16" s="279"/>
      <c r="HMK16" s="279"/>
      <c r="HML16" s="279"/>
      <c r="HMM16" s="279"/>
      <c r="HMN16" s="279"/>
      <c r="HMO16" s="279"/>
      <c r="HMP16" s="279"/>
      <c r="HMQ16" s="279"/>
      <c r="HMR16" s="279"/>
      <c r="HMS16" s="279"/>
      <c r="HMT16" s="279"/>
      <c r="HMU16" s="279"/>
      <c r="HMV16" s="279"/>
      <c r="HMW16" s="279"/>
      <c r="HMX16" s="279"/>
      <c r="HMY16" s="279"/>
      <c r="HMZ16" s="279"/>
      <c r="HNA16" s="279"/>
      <c r="HNB16" s="279"/>
      <c r="HNC16" s="279"/>
      <c r="HND16" s="279"/>
      <c r="HNE16" s="279"/>
      <c r="HNF16" s="279"/>
      <c r="HNG16" s="279"/>
      <c r="HNH16" s="279"/>
      <c r="HNI16" s="279"/>
      <c r="HNJ16" s="279"/>
      <c r="HNK16" s="279"/>
      <c r="HNL16" s="279"/>
      <c r="HNM16" s="279"/>
      <c r="HNN16" s="279"/>
      <c r="HNO16" s="279"/>
      <c r="HNP16" s="279"/>
      <c r="HNQ16" s="279"/>
      <c r="HNR16" s="279"/>
      <c r="HNS16" s="279"/>
      <c r="HNT16" s="279"/>
      <c r="HNU16" s="279"/>
      <c r="HNV16" s="279"/>
      <c r="HNW16" s="279"/>
      <c r="HNX16" s="279"/>
      <c r="HNY16" s="279"/>
      <c r="HNZ16" s="279"/>
      <c r="HOA16" s="279"/>
      <c r="HOB16" s="279"/>
      <c r="HOC16" s="279"/>
      <c r="HOD16" s="279"/>
      <c r="HOE16" s="279"/>
      <c r="HOF16" s="279"/>
      <c r="HOG16" s="279"/>
      <c r="HOH16" s="279"/>
      <c r="HOI16" s="279"/>
      <c r="HOJ16" s="279"/>
      <c r="HOK16" s="279"/>
      <c r="HOL16" s="279"/>
      <c r="HOM16" s="279"/>
      <c r="HON16" s="279"/>
      <c r="HOO16" s="279"/>
      <c r="HOP16" s="279"/>
      <c r="HOQ16" s="279"/>
      <c r="HOR16" s="279"/>
      <c r="HOS16" s="279"/>
      <c r="HOT16" s="279"/>
      <c r="HOU16" s="279"/>
      <c r="HOV16" s="279"/>
      <c r="HOW16" s="279"/>
      <c r="HOX16" s="279"/>
      <c r="HOY16" s="279"/>
      <c r="HOZ16" s="279"/>
      <c r="HPA16" s="279"/>
      <c r="HPB16" s="279"/>
      <c r="HPC16" s="279"/>
      <c r="HPD16" s="279"/>
      <c r="HPE16" s="279"/>
      <c r="HPF16" s="279"/>
      <c r="HPG16" s="279"/>
      <c r="HPH16" s="279"/>
      <c r="HPI16" s="279"/>
      <c r="HPJ16" s="279"/>
      <c r="HPK16" s="279"/>
      <c r="HPL16" s="279"/>
      <c r="HPM16" s="279"/>
      <c r="HPN16" s="279"/>
      <c r="HPO16" s="279"/>
      <c r="HPP16" s="279"/>
      <c r="HPQ16" s="279"/>
      <c r="HPR16" s="279"/>
      <c r="HPS16" s="279"/>
      <c r="HPT16" s="279"/>
      <c r="HPU16" s="279"/>
      <c r="HPV16" s="279"/>
      <c r="HPW16" s="279"/>
      <c r="HPX16" s="279"/>
      <c r="HPY16" s="279"/>
      <c r="HPZ16" s="279"/>
      <c r="HQA16" s="279"/>
      <c r="HQB16" s="279"/>
      <c r="HQC16" s="279"/>
      <c r="HQD16" s="279"/>
      <c r="HQE16" s="279"/>
      <c r="HQF16" s="279"/>
      <c r="HQG16" s="279"/>
      <c r="HQH16" s="279"/>
      <c r="HQI16" s="279"/>
      <c r="HQJ16" s="279"/>
      <c r="HQK16" s="279"/>
      <c r="HQL16" s="279"/>
      <c r="HQM16" s="279"/>
      <c r="HQN16" s="279"/>
      <c r="HQO16" s="279"/>
      <c r="HQP16" s="279"/>
      <c r="HQQ16" s="279"/>
      <c r="HQR16" s="279"/>
      <c r="HQS16" s="279"/>
      <c r="HQT16" s="279"/>
      <c r="HQU16" s="279"/>
      <c r="HQV16" s="279"/>
      <c r="HQW16" s="279"/>
      <c r="HQX16" s="279"/>
      <c r="HQY16" s="279"/>
      <c r="HQZ16" s="279"/>
      <c r="HRA16" s="279"/>
      <c r="HRB16" s="279"/>
      <c r="HRC16" s="279"/>
      <c r="HRD16" s="279"/>
      <c r="HRE16" s="279"/>
      <c r="HRF16" s="279"/>
      <c r="HRG16" s="279"/>
      <c r="HRH16" s="279"/>
      <c r="HRI16" s="279"/>
      <c r="HRJ16" s="279"/>
      <c r="HRK16" s="279"/>
      <c r="HRL16" s="279"/>
      <c r="HRM16" s="279"/>
      <c r="HRN16" s="279"/>
      <c r="HRO16" s="279"/>
      <c r="HRP16" s="279"/>
      <c r="HRQ16" s="279"/>
      <c r="HRR16" s="279"/>
      <c r="HRS16" s="279"/>
      <c r="HRT16" s="279"/>
      <c r="HRU16" s="279"/>
      <c r="HRV16" s="279"/>
      <c r="HRW16" s="279"/>
      <c r="HRX16" s="279"/>
      <c r="HRY16" s="279"/>
      <c r="HRZ16" s="279"/>
      <c r="HSA16" s="279"/>
      <c r="HSB16" s="279"/>
      <c r="HSC16" s="279"/>
      <c r="HSD16" s="279"/>
      <c r="HSE16" s="279"/>
      <c r="HSF16" s="279"/>
      <c r="HSG16" s="279"/>
      <c r="HSH16" s="279"/>
      <c r="HSI16" s="279"/>
      <c r="HSJ16" s="279"/>
      <c r="HSK16" s="279"/>
      <c r="HSL16" s="279"/>
      <c r="HSM16" s="279"/>
      <c r="HSN16" s="279"/>
      <c r="HSO16" s="279"/>
      <c r="HSP16" s="279"/>
      <c r="HSQ16" s="279"/>
      <c r="HSR16" s="279"/>
      <c r="HSS16" s="279"/>
      <c r="HST16" s="279"/>
      <c r="HSU16" s="279"/>
      <c r="HSV16" s="279"/>
      <c r="HSW16" s="279"/>
      <c r="HSX16" s="279"/>
      <c r="HSY16" s="279"/>
      <c r="HSZ16" s="279"/>
      <c r="HTA16" s="279"/>
      <c r="HTB16" s="279"/>
      <c r="HTC16" s="279"/>
      <c r="HTD16" s="279"/>
      <c r="HTE16" s="279"/>
      <c r="HTF16" s="279"/>
      <c r="HTG16" s="279"/>
      <c r="HTH16" s="279"/>
      <c r="HTI16" s="279"/>
      <c r="HTJ16" s="279"/>
      <c r="HTK16" s="279"/>
      <c r="HTL16" s="279"/>
      <c r="HTM16" s="279"/>
      <c r="HTN16" s="279"/>
      <c r="HTO16" s="279"/>
      <c r="HTP16" s="279"/>
      <c r="HTQ16" s="279"/>
      <c r="HTR16" s="279"/>
      <c r="HTS16" s="279"/>
      <c r="HTT16" s="279"/>
      <c r="HTU16" s="279"/>
      <c r="HTV16" s="279"/>
      <c r="HTW16" s="279"/>
      <c r="HTX16" s="279"/>
      <c r="HTY16" s="279"/>
      <c r="HTZ16" s="279"/>
      <c r="HUA16" s="279"/>
      <c r="HUB16" s="279"/>
      <c r="HUC16" s="279"/>
      <c r="HUD16" s="279"/>
      <c r="HUE16" s="279"/>
      <c r="HUF16" s="279"/>
      <c r="HUG16" s="279"/>
      <c r="HUH16" s="279"/>
      <c r="HUI16" s="279"/>
      <c r="HUJ16" s="279"/>
      <c r="HUK16" s="279"/>
      <c r="HUL16" s="279"/>
      <c r="HUM16" s="279"/>
      <c r="HUN16" s="279"/>
      <c r="HUO16" s="279"/>
      <c r="HUP16" s="279"/>
      <c r="HUQ16" s="279"/>
      <c r="HUR16" s="279"/>
      <c r="HUS16" s="279"/>
      <c r="HUT16" s="279"/>
      <c r="HUU16" s="279"/>
      <c r="HUV16" s="279"/>
      <c r="HUW16" s="279"/>
      <c r="HUX16" s="279"/>
      <c r="HUY16" s="279"/>
      <c r="HUZ16" s="279"/>
      <c r="HVA16" s="279"/>
      <c r="HVB16" s="279"/>
      <c r="HVC16" s="279"/>
      <c r="HVD16" s="279"/>
      <c r="HVE16" s="279"/>
      <c r="HVF16" s="279"/>
      <c r="HVG16" s="279"/>
      <c r="HVH16" s="279"/>
      <c r="HVI16" s="279"/>
      <c r="HVJ16" s="279"/>
      <c r="HVK16" s="279"/>
      <c r="HVL16" s="279"/>
      <c r="HVM16" s="279"/>
      <c r="HVN16" s="279"/>
      <c r="HVO16" s="279"/>
      <c r="HVP16" s="279"/>
      <c r="HVQ16" s="279"/>
      <c r="HVR16" s="279"/>
      <c r="HVS16" s="279"/>
      <c r="HVT16" s="279"/>
      <c r="HVU16" s="279"/>
      <c r="HVV16" s="279"/>
      <c r="HVW16" s="279"/>
      <c r="HVX16" s="279"/>
      <c r="HVY16" s="279"/>
      <c r="HVZ16" s="279"/>
      <c r="HWA16" s="279"/>
      <c r="HWB16" s="279"/>
      <c r="HWC16" s="279"/>
      <c r="HWD16" s="279"/>
      <c r="HWE16" s="279"/>
      <c r="HWF16" s="279"/>
      <c r="HWG16" s="279"/>
      <c r="HWH16" s="279"/>
      <c r="HWI16" s="279"/>
      <c r="HWJ16" s="279"/>
      <c r="HWK16" s="279"/>
      <c r="HWL16" s="279"/>
      <c r="HWM16" s="279"/>
      <c r="HWN16" s="279"/>
      <c r="HWO16" s="279"/>
      <c r="HWP16" s="279"/>
      <c r="HWQ16" s="279"/>
      <c r="HWR16" s="279"/>
      <c r="HWS16" s="279"/>
      <c r="HWT16" s="279"/>
      <c r="HWU16" s="279"/>
      <c r="HWV16" s="279"/>
      <c r="HWW16" s="279"/>
      <c r="HWX16" s="279"/>
      <c r="HWY16" s="279"/>
      <c r="HWZ16" s="279"/>
      <c r="HXA16" s="279"/>
      <c r="HXB16" s="279"/>
      <c r="HXC16" s="279"/>
      <c r="HXD16" s="279"/>
      <c r="HXE16" s="279"/>
      <c r="HXF16" s="279"/>
      <c r="HXG16" s="279"/>
      <c r="HXH16" s="279"/>
      <c r="HXI16" s="279"/>
      <c r="HXJ16" s="279"/>
      <c r="HXK16" s="279"/>
      <c r="HXL16" s="279"/>
      <c r="HXM16" s="279"/>
      <c r="HXN16" s="279"/>
      <c r="HXO16" s="279"/>
      <c r="HXP16" s="279"/>
      <c r="HXQ16" s="279"/>
      <c r="HXR16" s="279"/>
      <c r="HXS16" s="279"/>
      <c r="HXT16" s="279"/>
      <c r="HXU16" s="279"/>
      <c r="HXV16" s="279"/>
      <c r="HXW16" s="279"/>
      <c r="HXX16" s="279"/>
      <c r="HXY16" s="279"/>
      <c r="HXZ16" s="279"/>
      <c r="HYA16" s="279"/>
      <c r="HYB16" s="279"/>
      <c r="HYC16" s="279"/>
      <c r="HYD16" s="279"/>
      <c r="HYE16" s="279"/>
      <c r="HYF16" s="279"/>
      <c r="HYG16" s="279"/>
      <c r="HYH16" s="279"/>
      <c r="HYI16" s="279"/>
      <c r="HYJ16" s="279"/>
      <c r="HYK16" s="279"/>
      <c r="HYL16" s="279"/>
      <c r="HYM16" s="279"/>
      <c r="HYN16" s="279"/>
      <c r="HYO16" s="279"/>
      <c r="HYP16" s="279"/>
      <c r="HYQ16" s="279"/>
      <c r="HYR16" s="279"/>
      <c r="HYS16" s="279"/>
      <c r="HYT16" s="279"/>
      <c r="HYU16" s="279"/>
      <c r="HYV16" s="279"/>
      <c r="HYW16" s="279"/>
      <c r="HYX16" s="279"/>
      <c r="HYY16" s="279"/>
      <c r="HYZ16" s="279"/>
      <c r="HZA16" s="279"/>
      <c r="HZB16" s="279"/>
      <c r="HZC16" s="279"/>
      <c r="HZD16" s="279"/>
      <c r="HZE16" s="279"/>
      <c r="HZF16" s="279"/>
      <c r="HZG16" s="279"/>
      <c r="HZH16" s="279"/>
      <c r="HZI16" s="279"/>
      <c r="HZJ16" s="279"/>
      <c r="HZK16" s="279"/>
      <c r="HZL16" s="279"/>
      <c r="HZM16" s="279"/>
      <c r="HZN16" s="279"/>
      <c r="HZO16" s="279"/>
      <c r="HZP16" s="279"/>
      <c r="HZQ16" s="279"/>
      <c r="HZR16" s="279"/>
      <c r="HZS16" s="279"/>
      <c r="HZT16" s="279"/>
      <c r="HZU16" s="279"/>
      <c r="HZV16" s="279"/>
      <c r="HZW16" s="279"/>
      <c r="HZX16" s="279"/>
      <c r="HZY16" s="279"/>
      <c r="HZZ16" s="279"/>
      <c r="IAA16" s="279"/>
      <c r="IAB16" s="279"/>
      <c r="IAC16" s="279"/>
      <c r="IAD16" s="279"/>
      <c r="IAE16" s="279"/>
      <c r="IAF16" s="279"/>
      <c r="IAG16" s="279"/>
      <c r="IAH16" s="279"/>
    </row>
    <row r="17" spans="2:6118" s="277" customFormat="1" ht="12.75">
      <c r="B17" s="89" t="s">
        <v>37</v>
      </c>
      <c r="C17" s="34" t="s">
        <v>39</v>
      </c>
      <c r="D17" s="32" t="s">
        <v>76</v>
      </c>
      <c r="E17" s="32" t="s">
        <v>59</v>
      </c>
      <c r="F17" s="92" t="s">
        <v>454</v>
      </c>
      <c r="G17" s="92"/>
      <c r="H17" s="346">
        <v>0</v>
      </c>
      <c r="I17" s="346">
        <v>0</v>
      </c>
      <c r="J17" s="346">
        <v>0</v>
      </c>
      <c r="K17" s="337"/>
      <c r="L17" s="338"/>
      <c r="M17" s="339"/>
      <c r="N17" s="339"/>
      <c r="O17" s="339"/>
      <c r="P17" s="337"/>
      <c r="Q17" s="346">
        <v>0</v>
      </c>
      <c r="R17" s="346">
        <v>0</v>
      </c>
      <c r="S17" s="346">
        <v>0</v>
      </c>
      <c r="T17" s="103"/>
      <c r="U17" s="423"/>
      <c r="V17" s="108"/>
      <c r="W17" s="108"/>
      <c r="X17" s="108"/>
      <c r="Y17" s="103"/>
      <c r="Z17" s="346">
        <v>0</v>
      </c>
      <c r="AA17" s="346">
        <v>0</v>
      </c>
      <c r="AB17" s="346">
        <v>0</v>
      </c>
      <c r="AD17" s="452"/>
      <c r="AE17" s="453"/>
      <c r="AF17" s="453"/>
      <c r="AG17" s="453"/>
      <c r="AH17" s="103"/>
      <c r="AI17" s="346">
        <v>0</v>
      </c>
      <c r="AJ17" s="346">
        <v>0</v>
      </c>
      <c r="AK17" s="346">
        <v>0</v>
      </c>
      <c r="AL17" s="103"/>
      <c r="AM17" s="428"/>
      <c r="AN17" s="108"/>
      <c r="AO17" s="108"/>
      <c r="AP17" s="108"/>
      <c r="AQ17" s="103"/>
      <c r="AR17" s="346">
        <v>9</v>
      </c>
      <c r="AS17" s="346">
        <v>9</v>
      </c>
      <c r="AT17" s="346">
        <v>9</v>
      </c>
      <c r="AU17" s="279"/>
      <c r="AV17" s="335" t="s">
        <v>561</v>
      </c>
      <c r="AW17" s="336"/>
      <c r="AX17" s="336"/>
      <c r="AY17" s="336"/>
      <c r="AZ17" s="279"/>
      <c r="DL17" s="279"/>
      <c r="DM17" s="279"/>
      <c r="DN17" s="279"/>
      <c r="DO17" s="279"/>
      <c r="DP17" s="279"/>
      <c r="DQ17" s="279"/>
      <c r="DR17" s="279"/>
      <c r="DS17" s="279"/>
      <c r="DT17" s="279"/>
      <c r="DU17" s="279"/>
      <c r="DV17" s="279"/>
      <c r="DW17" s="279"/>
      <c r="DX17" s="279"/>
      <c r="DY17" s="279"/>
      <c r="DZ17" s="279"/>
      <c r="EA17" s="279"/>
      <c r="EB17" s="279"/>
      <c r="EC17" s="279"/>
      <c r="ED17" s="279"/>
      <c r="EE17" s="279"/>
      <c r="EF17" s="279"/>
      <c r="EG17" s="279"/>
      <c r="EH17" s="279"/>
      <c r="EI17" s="279"/>
      <c r="EJ17" s="279"/>
      <c r="EK17" s="279"/>
      <c r="EL17" s="279"/>
      <c r="EM17" s="279"/>
      <c r="EN17" s="279"/>
      <c r="EO17" s="279"/>
      <c r="EP17" s="279"/>
      <c r="EQ17" s="279"/>
      <c r="ER17" s="279"/>
      <c r="ES17" s="279"/>
      <c r="ET17" s="279"/>
      <c r="EU17" s="279"/>
      <c r="EV17" s="279"/>
      <c r="EW17" s="279"/>
      <c r="EX17" s="279"/>
      <c r="EY17" s="279"/>
      <c r="EZ17" s="279"/>
      <c r="FA17" s="279"/>
      <c r="FB17" s="279"/>
      <c r="FC17" s="279"/>
      <c r="FD17" s="279"/>
      <c r="FE17" s="279"/>
      <c r="FF17" s="279"/>
      <c r="FG17" s="279"/>
      <c r="FH17" s="279"/>
      <c r="FI17" s="279"/>
      <c r="FJ17" s="279"/>
      <c r="FK17" s="279"/>
      <c r="FL17" s="279"/>
      <c r="FM17" s="279"/>
      <c r="FN17" s="279"/>
      <c r="FO17" s="279"/>
      <c r="FP17" s="279"/>
      <c r="FQ17" s="279"/>
      <c r="FR17" s="279"/>
      <c r="FS17" s="279"/>
      <c r="FT17" s="279"/>
      <c r="FU17" s="279"/>
      <c r="FV17" s="279"/>
      <c r="FW17" s="279"/>
      <c r="FX17" s="279"/>
      <c r="FY17" s="279"/>
      <c r="FZ17" s="279"/>
      <c r="GA17" s="279"/>
      <c r="GB17" s="279"/>
      <c r="GC17" s="279"/>
      <c r="GD17" s="279"/>
      <c r="GE17" s="279"/>
      <c r="GF17" s="279"/>
      <c r="GG17" s="279"/>
      <c r="GH17" s="279"/>
      <c r="GI17" s="279"/>
      <c r="GJ17" s="279"/>
      <c r="GK17" s="279"/>
      <c r="GL17" s="279"/>
      <c r="GM17" s="279"/>
      <c r="GN17" s="279"/>
      <c r="GO17" s="279"/>
      <c r="GP17" s="279"/>
      <c r="GQ17" s="279"/>
      <c r="GR17" s="279"/>
      <c r="GS17" s="279"/>
      <c r="GT17" s="279"/>
      <c r="GU17" s="279"/>
      <c r="GV17" s="279"/>
      <c r="GW17" s="279"/>
      <c r="GX17" s="279"/>
      <c r="GY17" s="279"/>
      <c r="GZ17" s="279"/>
      <c r="HA17" s="279"/>
      <c r="HB17" s="279"/>
      <c r="HC17" s="279"/>
      <c r="HD17" s="279"/>
      <c r="HE17" s="279"/>
      <c r="HF17" s="279"/>
      <c r="HG17" s="279"/>
      <c r="HH17" s="279"/>
      <c r="HI17" s="279"/>
      <c r="HJ17" s="279"/>
      <c r="HK17" s="279"/>
      <c r="HL17" s="279"/>
      <c r="HM17" s="279"/>
      <c r="HN17" s="279"/>
      <c r="HO17" s="279"/>
      <c r="HP17" s="279"/>
      <c r="HQ17" s="279"/>
      <c r="HR17" s="279"/>
      <c r="HS17" s="279"/>
      <c r="HT17" s="279"/>
      <c r="HU17" s="279"/>
      <c r="HV17" s="279"/>
      <c r="HW17" s="279"/>
      <c r="HX17" s="279"/>
      <c r="HY17" s="279"/>
      <c r="HZ17" s="279"/>
      <c r="IA17" s="279"/>
      <c r="IB17" s="279"/>
      <c r="IC17" s="279"/>
      <c r="ID17" s="279"/>
      <c r="IE17" s="279"/>
      <c r="IF17" s="279"/>
      <c r="IG17" s="279"/>
      <c r="IH17" s="279"/>
      <c r="II17" s="279"/>
      <c r="IJ17" s="279"/>
      <c r="IK17" s="279"/>
      <c r="IL17" s="279"/>
      <c r="IM17" s="279"/>
      <c r="IN17" s="279"/>
      <c r="IO17" s="279"/>
      <c r="IP17" s="279"/>
      <c r="IQ17" s="279"/>
      <c r="IR17" s="279"/>
      <c r="IS17" s="279"/>
      <c r="IT17" s="279"/>
      <c r="IU17" s="279"/>
      <c r="IV17" s="279"/>
      <c r="IW17" s="279"/>
      <c r="IX17" s="279"/>
      <c r="IY17" s="279"/>
      <c r="IZ17" s="279"/>
      <c r="JA17" s="279"/>
      <c r="JB17" s="279"/>
      <c r="JC17" s="279"/>
      <c r="JD17" s="279"/>
      <c r="JE17" s="279"/>
      <c r="JF17" s="279"/>
      <c r="JG17" s="279"/>
      <c r="JH17" s="279"/>
      <c r="JI17" s="279"/>
      <c r="JJ17" s="279"/>
      <c r="JK17" s="279"/>
      <c r="JL17" s="279"/>
      <c r="JM17" s="279"/>
      <c r="JN17" s="279"/>
      <c r="JO17" s="279"/>
      <c r="JP17" s="279"/>
      <c r="JQ17" s="279"/>
      <c r="JR17" s="279"/>
      <c r="JS17" s="279"/>
      <c r="JT17" s="279"/>
      <c r="JU17" s="279"/>
      <c r="JV17" s="279"/>
      <c r="JW17" s="279"/>
      <c r="JX17" s="279"/>
      <c r="JY17" s="279"/>
      <c r="JZ17" s="279"/>
      <c r="KA17" s="279"/>
      <c r="KB17" s="279"/>
      <c r="KC17" s="279"/>
      <c r="KD17" s="279"/>
      <c r="KE17" s="279"/>
      <c r="KF17" s="279"/>
      <c r="KG17" s="279"/>
      <c r="KH17" s="279"/>
      <c r="KI17" s="279"/>
      <c r="KJ17" s="279"/>
      <c r="KK17" s="279"/>
      <c r="KL17" s="279"/>
      <c r="KM17" s="279"/>
      <c r="KN17" s="279"/>
      <c r="KO17" s="279"/>
      <c r="KP17" s="279"/>
      <c r="KQ17" s="279"/>
      <c r="KR17" s="279"/>
      <c r="KS17" s="279"/>
      <c r="KT17" s="279"/>
      <c r="KU17" s="279"/>
      <c r="KV17" s="279"/>
      <c r="KW17" s="279"/>
      <c r="KX17" s="279"/>
      <c r="KY17" s="279"/>
      <c r="KZ17" s="279"/>
      <c r="LA17" s="279"/>
      <c r="LB17" s="279"/>
      <c r="LC17" s="279"/>
      <c r="LD17" s="279"/>
      <c r="LE17" s="279"/>
      <c r="LF17" s="279"/>
      <c r="LG17" s="279"/>
      <c r="LH17" s="279"/>
      <c r="LI17" s="279"/>
      <c r="LJ17" s="279"/>
      <c r="LK17" s="279"/>
      <c r="LL17" s="279"/>
      <c r="LM17" s="279"/>
      <c r="LN17" s="279"/>
      <c r="LO17" s="279"/>
      <c r="LP17" s="279"/>
      <c r="LQ17" s="279"/>
      <c r="LR17" s="279"/>
      <c r="LS17" s="279"/>
      <c r="LT17" s="279"/>
      <c r="LU17" s="279"/>
      <c r="LV17" s="279"/>
      <c r="LW17" s="279"/>
      <c r="LX17" s="279"/>
      <c r="LY17" s="279"/>
      <c r="LZ17" s="279"/>
      <c r="MA17" s="279"/>
      <c r="MB17" s="279"/>
      <c r="MC17" s="279"/>
      <c r="MD17" s="279"/>
      <c r="ME17" s="279"/>
      <c r="MF17" s="279"/>
      <c r="MG17" s="279"/>
      <c r="MH17" s="279"/>
      <c r="MI17" s="279"/>
      <c r="MJ17" s="279"/>
      <c r="MK17" s="279"/>
      <c r="ML17" s="279"/>
      <c r="MM17" s="279"/>
      <c r="MN17" s="279"/>
      <c r="MO17" s="279"/>
      <c r="MP17" s="279"/>
      <c r="MQ17" s="279"/>
      <c r="MR17" s="279"/>
      <c r="MS17" s="279"/>
      <c r="MT17" s="279"/>
      <c r="MU17" s="279"/>
      <c r="MV17" s="279"/>
      <c r="MW17" s="279"/>
      <c r="MX17" s="279"/>
      <c r="MY17" s="279"/>
      <c r="MZ17" s="279"/>
      <c r="NA17" s="279"/>
      <c r="NB17" s="279"/>
      <c r="NC17" s="279"/>
      <c r="ND17" s="279"/>
      <c r="NE17" s="279"/>
      <c r="NF17" s="279"/>
      <c r="NG17" s="279"/>
      <c r="NH17" s="279"/>
      <c r="NI17" s="279"/>
      <c r="NJ17" s="279"/>
      <c r="NK17" s="279"/>
      <c r="NL17" s="279"/>
      <c r="NM17" s="279"/>
      <c r="NN17" s="279"/>
      <c r="NO17" s="279"/>
      <c r="NP17" s="279"/>
      <c r="NQ17" s="279"/>
      <c r="NR17" s="279"/>
      <c r="NS17" s="279"/>
      <c r="NT17" s="279"/>
      <c r="NU17" s="279"/>
      <c r="NV17" s="279"/>
      <c r="NW17" s="279"/>
      <c r="NX17" s="279"/>
      <c r="NY17" s="279"/>
      <c r="NZ17" s="279"/>
      <c r="OA17" s="279"/>
      <c r="OB17" s="279"/>
      <c r="OC17" s="279"/>
      <c r="OD17" s="279"/>
      <c r="OE17" s="279"/>
      <c r="OF17" s="279"/>
      <c r="OG17" s="279"/>
      <c r="OH17" s="279"/>
      <c r="OI17" s="279"/>
      <c r="OJ17" s="279"/>
      <c r="OK17" s="279"/>
      <c r="OL17" s="279"/>
      <c r="OM17" s="279"/>
      <c r="ON17" s="279"/>
      <c r="OO17" s="279"/>
      <c r="OP17" s="279"/>
      <c r="OQ17" s="279"/>
      <c r="OR17" s="279"/>
      <c r="OS17" s="279"/>
      <c r="OT17" s="279"/>
      <c r="OU17" s="279"/>
      <c r="OV17" s="279"/>
      <c r="OW17" s="279"/>
      <c r="OX17" s="279"/>
      <c r="OY17" s="279"/>
      <c r="OZ17" s="279"/>
      <c r="PA17" s="279"/>
      <c r="PB17" s="279"/>
      <c r="PC17" s="279"/>
      <c r="PD17" s="279"/>
      <c r="PE17" s="279"/>
      <c r="PF17" s="279"/>
      <c r="PG17" s="279"/>
      <c r="PH17" s="279"/>
      <c r="PI17" s="279"/>
      <c r="PJ17" s="279"/>
      <c r="PK17" s="279"/>
      <c r="PL17" s="279"/>
      <c r="PM17" s="279"/>
      <c r="PN17" s="279"/>
      <c r="PO17" s="279"/>
      <c r="PP17" s="279"/>
      <c r="PQ17" s="279"/>
      <c r="PR17" s="279"/>
      <c r="PS17" s="279"/>
      <c r="PT17" s="279"/>
      <c r="PU17" s="279"/>
      <c r="PV17" s="279"/>
      <c r="PW17" s="279"/>
      <c r="PX17" s="279"/>
      <c r="PY17" s="279"/>
      <c r="PZ17" s="279"/>
      <c r="QA17" s="279"/>
      <c r="QB17" s="279"/>
      <c r="QC17" s="279"/>
      <c r="QD17" s="279"/>
      <c r="QE17" s="279"/>
      <c r="QF17" s="279"/>
      <c r="QG17" s="279"/>
      <c r="QH17" s="279"/>
      <c r="QI17" s="279"/>
      <c r="QJ17" s="279"/>
      <c r="QK17" s="279"/>
      <c r="QL17" s="279"/>
      <c r="QM17" s="279"/>
      <c r="QN17" s="279"/>
      <c r="QO17" s="279"/>
      <c r="QP17" s="279"/>
      <c r="QQ17" s="279"/>
      <c r="QR17" s="279"/>
      <c r="QS17" s="279"/>
      <c r="QT17" s="279"/>
      <c r="QU17" s="279"/>
      <c r="QV17" s="279"/>
      <c r="QW17" s="279"/>
      <c r="QX17" s="279"/>
      <c r="QY17" s="279"/>
      <c r="QZ17" s="279"/>
      <c r="RA17" s="279"/>
      <c r="RB17" s="279"/>
      <c r="RC17" s="279"/>
      <c r="RD17" s="279"/>
      <c r="RE17" s="279"/>
      <c r="RF17" s="279"/>
      <c r="RG17" s="279"/>
      <c r="RH17" s="279"/>
      <c r="RI17" s="279"/>
      <c r="RJ17" s="279"/>
      <c r="RK17" s="279"/>
      <c r="RL17" s="279"/>
      <c r="RM17" s="279"/>
      <c r="RN17" s="279"/>
      <c r="RO17" s="279"/>
      <c r="RP17" s="279"/>
      <c r="RQ17" s="279"/>
      <c r="RR17" s="279"/>
      <c r="RS17" s="279"/>
      <c r="RT17" s="279"/>
      <c r="RU17" s="279"/>
      <c r="RV17" s="279"/>
      <c r="RW17" s="279"/>
      <c r="RX17" s="279"/>
      <c r="RY17" s="279"/>
      <c r="RZ17" s="279"/>
      <c r="SA17" s="279"/>
      <c r="SB17" s="279"/>
      <c r="SC17" s="279"/>
      <c r="SD17" s="279"/>
      <c r="SE17" s="279"/>
      <c r="SF17" s="279"/>
      <c r="SG17" s="279"/>
      <c r="SH17" s="279"/>
      <c r="SI17" s="279"/>
      <c r="SJ17" s="279"/>
      <c r="SK17" s="279"/>
      <c r="SL17" s="279"/>
      <c r="SM17" s="279"/>
      <c r="SN17" s="279"/>
      <c r="SO17" s="279"/>
      <c r="SP17" s="279"/>
      <c r="SQ17" s="279"/>
      <c r="SR17" s="279"/>
      <c r="SS17" s="279"/>
      <c r="ST17" s="279"/>
      <c r="SU17" s="279"/>
      <c r="SV17" s="279"/>
      <c r="SW17" s="279"/>
      <c r="SX17" s="279"/>
      <c r="SY17" s="279"/>
      <c r="SZ17" s="279"/>
      <c r="TA17" s="279"/>
      <c r="TB17" s="279"/>
      <c r="TC17" s="279"/>
      <c r="TD17" s="279"/>
      <c r="TE17" s="279"/>
      <c r="TF17" s="279"/>
      <c r="TG17" s="279"/>
      <c r="TH17" s="279"/>
      <c r="TI17" s="279"/>
      <c r="TJ17" s="279"/>
      <c r="TK17" s="279"/>
      <c r="TL17" s="279"/>
      <c r="TM17" s="279"/>
      <c r="TN17" s="279"/>
      <c r="TO17" s="279"/>
      <c r="TP17" s="279"/>
      <c r="TQ17" s="279"/>
      <c r="TR17" s="279"/>
      <c r="TS17" s="279"/>
      <c r="TT17" s="279"/>
      <c r="TU17" s="279"/>
      <c r="TV17" s="279"/>
      <c r="TW17" s="279"/>
      <c r="TX17" s="279"/>
      <c r="TY17" s="279"/>
      <c r="TZ17" s="279"/>
      <c r="UA17" s="279"/>
      <c r="UB17" s="279"/>
      <c r="UC17" s="279"/>
      <c r="UD17" s="279"/>
      <c r="UE17" s="279"/>
      <c r="UF17" s="279"/>
      <c r="UG17" s="279"/>
      <c r="UH17" s="279"/>
      <c r="UI17" s="279"/>
      <c r="UJ17" s="279"/>
      <c r="UK17" s="279"/>
      <c r="UL17" s="279"/>
      <c r="UM17" s="279"/>
      <c r="UN17" s="279"/>
      <c r="UO17" s="279"/>
      <c r="UP17" s="279"/>
      <c r="UQ17" s="279"/>
      <c r="UR17" s="279"/>
      <c r="US17" s="279"/>
      <c r="UT17" s="279"/>
      <c r="UU17" s="279"/>
      <c r="UV17" s="279"/>
      <c r="UW17" s="279"/>
      <c r="UX17" s="279"/>
      <c r="UY17" s="279"/>
      <c r="UZ17" s="279"/>
      <c r="VA17" s="279"/>
      <c r="VB17" s="279"/>
      <c r="VC17" s="279"/>
      <c r="VD17" s="279"/>
      <c r="VE17" s="279"/>
      <c r="VF17" s="279"/>
      <c r="VG17" s="279"/>
      <c r="VH17" s="279"/>
      <c r="VI17" s="279"/>
      <c r="VJ17" s="279"/>
      <c r="VK17" s="279"/>
      <c r="VL17" s="279"/>
      <c r="VM17" s="279"/>
      <c r="VN17" s="279"/>
      <c r="VO17" s="279"/>
      <c r="VP17" s="279"/>
      <c r="VQ17" s="279"/>
      <c r="VR17" s="279"/>
      <c r="VS17" s="279"/>
      <c r="VT17" s="279"/>
      <c r="VU17" s="279"/>
      <c r="VV17" s="279"/>
      <c r="VW17" s="279"/>
      <c r="VX17" s="279"/>
      <c r="VY17" s="279"/>
      <c r="VZ17" s="279"/>
      <c r="WA17" s="279"/>
      <c r="WB17" s="279"/>
      <c r="WC17" s="279"/>
      <c r="WD17" s="279"/>
      <c r="WE17" s="279"/>
      <c r="WF17" s="279"/>
      <c r="WG17" s="279"/>
      <c r="WH17" s="279"/>
      <c r="WI17" s="279"/>
      <c r="WJ17" s="279"/>
      <c r="WK17" s="279"/>
      <c r="WL17" s="279"/>
      <c r="WM17" s="279"/>
      <c r="WN17" s="279"/>
      <c r="WO17" s="279"/>
      <c r="WP17" s="279"/>
      <c r="WQ17" s="279"/>
      <c r="WR17" s="279"/>
      <c r="WS17" s="279"/>
      <c r="WT17" s="279"/>
      <c r="WU17" s="279"/>
      <c r="WV17" s="279"/>
      <c r="WW17" s="279"/>
      <c r="WX17" s="279"/>
      <c r="WY17" s="279"/>
      <c r="WZ17" s="279"/>
      <c r="XA17" s="279"/>
      <c r="XB17" s="279"/>
      <c r="XC17" s="279"/>
      <c r="XD17" s="279"/>
      <c r="XE17" s="279"/>
      <c r="XF17" s="279"/>
      <c r="XG17" s="279"/>
      <c r="XH17" s="279"/>
      <c r="XI17" s="279"/>
      <c r="XJ17" s="279"/>
      <c r="XK17" s="279"/>
      <c r="XL17" s="279"/>
      <c r="XM17" s="279"/>
      <c r="XN17" s="279"/>
      <c r="XO17" s="279"/>
      <c r="XP17" s="279"/>
      <c r="XQ17" s="279"/>
      <c r="XR17" s="279"/>
      <c r="XS17" s="279"/>
      <c r="XT17" s="279"/>
      <c r="XU17" s="279"/>
      <c r="XV17" s="279"/>
      <c r="XW17" s="279"/>
      <c r="XX17" s="279"/>
      <c r="XY17" s="279"/>
      <c r="XZ17" s="279"/>
      <c r="YA17" s="279"/>
      <c r="YB17" s="279"/>
      <c r="YC17" s="279"/>
      <c r="YD17" s="279"/>
      <c r="YE17" s="279"/>
      <c r="YF17" s="279"/>
      <c r="YG17" s="279"/>
      <c r="YH17" s="279"/>
      <c r="YI17" s="279"/>
      <c r="YJ17" s="279"/>
      <c r="YK17" s="279"/>
      <c r="YL17" s="279"/>
      <c r="YM17" s="279"/>
      <c r="YN17" s="279"/>
      <c r="YO17" s="279"/>
      <c r="YP17" s="279"/>
      <c r="YQ17" s="279"/>
      <c r="YR17" s="279"/>
      <c r="YS17" s="279"/>
      <c r="YT17" s="279"/>
      <c r="YU17" s="279"/>
      <c r="YV17" s="279"/>
      <c r="YW17" s="279"/>
      <c r="YX17" s="279"/>
      <c r="YY17" s="279"/>
      <c r="YZ17" s="279"/>
      <c r="ZA17" s="279"/>
      <c r="ZB17" s="279"/>
      <c r="ZC17" s="279"/>
      <c r="ZD17" s="279"/>
      <c r="ZE17" s="279"/>
      <c r="ZF17" s="279"/>
      <c r="ZG17" s="279"/>
      <c r="ZH17" s="279"/>
      <c r="ZI17" s="279"/>
      <c r="ZJ17" s="279"/>
      <c r="ZK17" s="279"/>
      <c r="ZL17" s="279"/>
      <c r="ZM17" s="279"/>
      <c r="ZN17" s="279"/>
      <c r="ZO17" s="279"/>
      <c r="ZP17" s="279"/>
      <c r="ZQ17" s="279"/>
      <c r="ZR17" s="279"/>
      <c r="ZS17" s="279"/>
      <c r="ZT17" s="279"/>
      <c r="ZU17" s="279"/>
      <c r="ZV17" s="279"/>
      <c r="ZW17" s="279"/>
      <c r="ZX17" s="279"/>
      <c r="ZY17" s="279"/>
      <c r="ZZ17" s="279"/>
      <c r="AAA17" s="279"/>
      <c r="AAB17" s="279"/>
      <c r="AAC17" s="279"/>
      <c r="AAD17" s="279"/>
      <c r="AAE17" s="279"/>
      <c r="AAF17" s="279"/>
      <c r="AAG17" s="279"/>
      <c r="AAH17" s="279"/>
      <c r="AAI17" s="279"/>
      <c r="AAJ17" s="279"/>
      <c r="AAK17" s="279"/>
      <c r="AAL17" s="279"/>
      <c r="AAM17" s="279"/>
      <c r="AAN17" s="279"/>
      <c r="AAO17" s="279"/>
      <c r="AAP17" s="279"/>
      <c r="AAQ17" s="279"/>
      <c r="AAR17" s="279"/>
      <c r="AAS17" s="279"/>
      <c r="AAT17" s="279"/>
      <c r="AAU17" s="279"/>
      <c r="AAV17" s="279"/>
      <c r="AAW17" s="279"/>
      <c r="AAX17" s="279"/>
      <c r="AAY17" s="279"/>
      <c r="AAZ17" s="279"/>
      <c r="ABA17" s="279"/>
      <c r="ABB17" s="279"/>
      <c r="ABC17" s="279"/>
      <c r="ABD17" s="279"/>
      <c r="ABE17" s="279"/>
      <c r="ABF17" s="279"/>
      <c r="ABG17" s="279"/>
      <c r="ABH17" s="279"/>
      <c r="ABI17" s="279"/>
      <c r="ABJ17" s="279"/>
      <c r="ABK17" s="279"/>
      <c r="ABL17" s="279"/>
      <c r="ABM17" s="279"/>
      <c r="ABN17" s="279"/>
      <c r="ABO17" s="279"/>
      <c r="ABP17" s="279"/>
      <c r="ABQ17" s="279"/>
      <c r="ABR17" s="279"/>
      <c r="ABS17" s="279"/>
      <c r="ABT17" s="279"/>
      <c r="ABU17" s="279"/>
      <c r="ABV17" s="279"/>
      <c r="ABW17" s="279"/>
      <c r="ABX17" s="279"/>
      <c r="ABY17" s="279"/>
      <c r="ABZ17" s="279"/>
      <c r="ACA17" s="279"/>
      <c r="ACB17" s="279"/>
      <c r="ACC17" s="279"/>
      <c r="ACD17" s="279"/>
      <c r="ACE17" s="279"/>
      <c r="ACF17" s="279"/>
      <c r="ACG17" s="279"/>
      <c r="ACH17" s="279"/>
      <c r="ACI17" s="279"/>
      <c r="ACJ17" s="279"/>
      <c r="ACK17" s="279"/>
      <c r="ACL17" s="279"/>
      <c r="ACM17" s="279"/>
      <c r="ACN17" s="279"/>
      <c r="ACO17" s="279"/>
      <c r="ACP17" s="279"/>
      <c r="ACQ17" s="279"/>
      <c r="ACR17" s="279"/>
      <c r="ACS17" s="279"/>
      <c r="ACT17" s="279"/>
      <c r="ACU17" s="279"/>
      <c r="ACV17" s="279"/>
      <c r="ACW17" s="279"/>
      <c r="ACX17" s="279"/>
      <c r="ACY17" s="279"/>
      <c r="ACZ17" s="279"/>
      <c r="ADA17" s="279"/>
      <c r="ADB17" s="279"/>
      <c r="ADC17" s="279"/>
      <c r="ADD17" s="279"/>
      <c r="ADE17" s="279"/>
      <c r="ADF17" s="279"/>
      <c r="ADG17" s="279"/>
      <c r="ADH17" s="279"/>
      <c r="ADI17" s="279"/>
      <c r="ADJ17" s="279"/>
      <c r="ADK17" s="279"/>
      <c r="ADL17" s="279"/>
      <c r="ADM17" s="279"/>
      <c r="ADN17" s="279"/>
      <c r="ADO17" s="279"/>
      <c r="ADP17" s="279"/>
      <c r="ADQ17" s="279"/>
      <c r="ADR17" s="279"/>
      <c r="ADS17" s="279"/>
      <c r="ADT17" s="279"/>
      <c r="ADU17" s="279"/>
      <c r="ADV17" s="279"/>
      <c r="ADW17" s="279"/>
      <c r="ADX17" s="279"/>
      <c r="ADY17" s="279"/>
      <c r="ADZ17" s="279"/>
      <c r="AEA17" s="279"/>
      <c r="AEB17" s="279"/>
      <c r="AEC17" s="279"/>
      <c r="AED17" s="279"/>
      <c r="AEE17" s="279"/>
      <c r="AEF17" s="279"/>
      <c r="AEG17" s="279"/>
      <c r="AEH17" s="279"/>
      <c r="AEI17" s="279"/>
      <c r="AEJ17" s="279"/>
      <c r="AEK17" s="279"/>
      <c r="AEL17" s="279"/>
      <c r="AEM17" s="279"/>
      <c r="AEN17" s="279"/>
      <c r="AEO17" s="279"/>
      <c r="AEP17" s="279"/>
      <c r="AEQ17" s="279"/>
      <c r="AER17" s="279"/>
      <c r="AES17" s="279"/>
      <c r="AET17" s="279"/>
      <c r="AEU17" s="279"/>
      <c r="AEV17" s="279"/>
      <c r="AEW17" s="279"/>
      <c r="AEX17" s="279"/>
      <c r="AEY17" s="279"/>
      <c r="AEZ17" s="279"/>
      <c r="AFA17" s="279"/>
      <c r="AFB17" s="279"/>
      <c r="AFC17" s="279"/>
      <c r="AFD17" s="279"/>
      <c r="AFE17" s="279"/>
      <c r="AFF17" s="279"/>
      <c r="AFG17" s="279"/>
      <c r="AFH17" s="279"/>
      <c r="AFI17" s="279"/>
      <c r="AFJ17" s="279"/>
      <c r="AFK17" s="279"/>
      <c r="AFL17" s="279"/>
      <c r="AFM17" s="279"/>
      <c r="AFN17" s="279"/>
      <c r="AFO17" s="279"/>
      <c r="AFP17" s="279"/>
      <c r="AFQ17" s="279"/>
      <c r="AFR17" s="279"/>
      <c r="AFS17" s="279"/>
      <c r="AFT17" s="279"/>
      <c r="AFU17" s="279"/>
      <c r="AFV17" s="279"/>
      <c r="AFW17" s="279"/>
      <c r="AFX17" s="279"/>
      <c r="AFY17" s="279"/>
      <c r="AFZ17" s="279"/>
      <c r="AGA17" s="279"/>
      <c r="AGB17" s="279"/>
      <c r="AGC17" s="279"/>
      <c r="AGD17" s="279"/>
      <c r="AGE17" s="279"/>
      <c r="AGF17" s="279"/>
      <c r="AGG17" s="279"/>
      <c r="AGH17" s="279"/>
      <c r="AGI17" s="279"/>
      <c r="AGJ17" s="279"/>
      <c r="AGK17" s="279"/>
      <c r="AGL17" s="279"/>
      <c r="AGM17" s="279"/>
      <c r="AGN17" s="279"/>
      <c r="AGO17" s="279"/>
      <c r="AGP17" s="279"/>
      <c r="AGQ17" s="279"/>
      <c r="AGR17" s="279"/>
      <c r="AGS17" s="279"/>
      <c r="AGT17" s="279"/>
      <c r="AGU17" s="279"/>
      <c r="AGV17" s="279"/>
      <c r="AGW17" s="279"/>
      <c r="AGX17" s="279"/>
      <c r="AGY17" s="279"/>
      <c r="AGZ17" s="279"/>
      <c r="AHA17" s="279"/>
      <c r="AHB17" s="279"/>
      <c r="AHC17" s="279"/>
      <c r="AHD17" s="279"/>
      <c r="AHE17" s="279"/>
      <c r="AHF17" s="279"/>
      <c r="AHG17" s="279"/>
      <c r="AHH17" s="279"/>
      <c r="AHI17" s="279"/>
      <c r="AHJ17" s="279"/>
      <c r="AHK17" s="279"/>
      <c r="AHL17" s="279"/>
      <c r="AHM17" s="279"/>
      <c r="AHN17" s="279"/>
      <c r="AHO17" s="279"/>
      <c r="AHP17" s="279"/>
      <c r="AHQ17" s="279"/>
      <c r="AHR17" s="279"/>
      <c r="AHS17" s="279"/>
      <c r="AHT17" s="279"/>
      <c r="AHU17" s="279"/>
      <c r="AHV17" s="279"/>
      <c r="AHW17" s="279"/>
      <c r="AHX17" s="279"/>
      <c r="AHY17" s="279"/>
      <c r="AHZ17" s="279"/>
      <c r="AIA17" s="279"/>
      <c r="AIB17" s="279"/>
      <c r="AIC17" s="279"/>
      <c r="AID17" s="279"/>
      <c r="AIE17" s="279"/>
      <c r="AIF17" s="279"/>
      <c r="AIG17" s="279"/>
      <c r="AIH17" s="279"/>
      <c r="AII17" s="279"/>
      <c r="AIJ17" s="279"/>
      <c r="AIK17" s="279"/>
      <c r="AIL17" s="279"/>
      <c r="AIM17" s="279"/>
      <c r="AIN17" s="279"/>
      <c r="AIO17" s="279"/>
      <c r="AIP17" s="279"/>
      <c r="AIQ17" s="279"/>
      <c r="AIR17" s="279"/>
      <c r="AIS17" s="279"/>
      <c r="AIT17" s="279"/>
      <c r="AIU17" s="279"/>
      <c r="AIV17" s="279"/>
      <c r="AIW17" s="279"/>
      <c r="AIX17" s="279"/>
      <c r="AIY17" s="279"/>
      <c r="AIZ17" s="279"/>
      <c r="AJA17" s="279"/>
      <c r="AJB17" s="279"/>
      <c r="AJC17" s="279"/>
      <c r="AJD17" s="279"/>
      <c r="AJE17" s="279"/>
      <c r="AJF17" s="279"/>
      <c r="AJG17" s="279"/>
      <c r="AJH17" s="279"/>
      <c r="AJI17" s="279"/>
      <c r="AJJ17" s="279"/>
      <c r="AJK17" s="279"/>
      <c r="AJL17" s="279"/>
      <c r="AJM17" s="279"/>
      <c r="AJN17" s="279"/>
      <c r="AJO17" s="279"/>
      <c r="AJP17" s="279"/>
      <c r="AJQ17" s="279"/>
      <c r="AJR17" s="279"/>
      <c r="AJS17" s="279"/>
      <c r="AJT17" s="279"/>
      <c r="AJU17" s="279"/>
      <c r="AJV17" s="279"/>
      <c r="AJW17" s="279"/>
      <c r="AJX17" s="279"/>
      <c r="AJY17" s="279"/>
      <c r="AJZ17" s="279"/>
      <c r="AKA17" s="279"/>
      <c r="AKB17" s="279"/>
      <c r="AKC17" s="279"/>
      <c r="AKD17" s="279"/>
      <c r="AKE17" s="279"/>
      <c r="AKF17" s="279"/>
      <c r="AKG17" s="279"/>
      <c r="AKH17" s="279"/>
      <c r="AKI17" s="279"/>
      <c r="AKJ17" s="279"/>
      <c r="AKK17" s="279"/>
      <c r="AKL17" s="279"/>
      <c r="AKM17" s="279"/>
      <c r="AKN17" s="279"/>
      <c r="AKO17" s="279"/>
      <c r="AKP17" s="279"/>
      <c r="AKQ17" s="279"/>
      <c r="AKR17" s="279"/>
      <c r="AKS17" s="279"/>
      <c r="AKT17" s="279"/>
      <c r="AKU17" s="279"/>
      <c r="AKV17" s="279"/>
      <c r="AKW17" s="279"/>
      <c r="AKX17" s="279"/>
      <c r="AKY17" s="279"/>
      <c r="AKZ17" s="279"/>
      <c r="ALA17" s="279"/>
      <c r="ALB17" s="279"/>
      <c r="ALC17" s="279"/>
      <c r="ALD17" s="279"/>
      <c r="ALE17" s="279"/>
      <c r="ALF17" s="279"/>
      <c r="ALG17" s="279"/>
      <c r="ALH17" s="279"/>
      <c r="ALI17" s="279"/>
      <c r="ALJ17" s="279"/>
      <c r="ALK17" s="279"/>
      <c r="ALL17" s="279"/>
      <c r="ALM17" s="279"/>
      <c r="ALN17" s="279"/>
      <c r="ALO17" s="279"/>
      <c r="ALP17" s="279"/>
      <c r="ALQ17" s="279"/>
      <c r="ALR17" s="279"/>
      <c r="ALS17" s="279"/>
      <c r="ALT17" s="279"/>
      <c r="ALU17" s="279"/>
      <c r="ALV17" s="279"/>
      <c r="ALW17" s="279"/>
      <c r="ALX17" s="279"/>
      <c r="ALY17" s="279"/>
      <c r="ALZ17" s="279"/>
      <c r="AMA17" s="279"/>
      <c r="AMB17" s="279"/>
      <c r="AMC17" s="279"/>
      <c r="AMD17" s="279"/>
      <c r="AME17" s="279"/>
      <c r="AMF17" s="279"/>
      <c r="AMG17" s="279"/>
      <c r="AMH17" s="279"/>
      <c r="AMI17" s="279"/>
      <c r="AMJ17" s="279"/>
      <c r="AMK17" s="279"/>
      <c r="AML17" s="279"/>
      <c r="AMM17" s="279"/>
      <c r="AMN17" s="279"/>
      <c r="AMO17" s="279"/>
      <c r="AMP17" s="279"/>
      <c r="AMQ17" s="279"/>
      <c r="AMR17" s="279"/>
      <c r="AMS17" s="279"/>
      <c r="AMT17" s="279"/>
      <c r="AMU17" s="279"/>
      <c r="AMV17" s="279"/>
      <c r="AMW17" s="279"/>
      <c r="AMX17" s="279"/>
      <c r="AMY17" s="279"/>
      <c r="AMZ17" s="279"/>
      <c r="ANA17" s="279"/>
      <c r="ANB17" s="279"/>
      <c r="ANC17" s="279"/>
      <c r="AND17" s="279"/>
      <c r="ANE17" s="279"/>
      <c r="ANF17" s="279"/>
      <c r="ANG17" s="279"/>
      <c r="ANH17" s="279"/>
      <c r="ANI17" s="279"/>
      <c r="ANJ17" s="279"/>
      <c r="ANK17" s="279"/>
      <c r="ANL17" s="279"/>
      <c r="ANM17" s="279"/>
      <c r="ANN17" s="279"/>
      <c r="ANO17" s="279"/>
      <c r="ANP17" s="279"/>
      <c r="ANQ17" s="279"/>
      <c r="ANR17" s="279"/>
      <c r="ANS17" s="279"/>
      <c r="ANT17" s="279"/>
      <c r="ANU17" s="279"/>
      <c r="ANV17" s="279"/>
      <c r="ANW17" s="279"/>
      <c r="ANX17" s="279"/>
      <c r="ANY17" s="279"/>
      <c r="ANZ17" s="279"/>
      <c r="AOA17" s="279"/>
      <c r="AOB17" s="279"/>
      <c r="AOC17" s="279"/>
      <c r="AOD17" s="279"/>
      <c r="AOE17" s="279"/>
      <c r="AOF17" s="279"/>
      <c r="AOG17" s="279"/>
      <c r="AOH17" s="279"/>
      <c r="AOI17" s="279"/>
      <c r="AOJ17" s="279"/>
      <c r="AOK17" s="279"/>
      <c r="AOL17" s="279"/>
      <c r="AOM17" s="279"/>
      <c r="AON17" s="279"/>
      <c r="AOO17" s="279"/>
      <c r="AOP17" s="279"/>
      <c r="AOQ17" s="279"/>
      <c r="AOR17" s="279"/>
      <c r="AOS17" s="279"/>
      <c r="AOT17" s="279"/>
      <c r="AOU17" s="279"/>
      <c r="AOV17" s="279"/>
      <c r="AOW17" s="279"/>
      <c r="AOX17" s="279"/>
      <c r="AOY17" s="279"/>
      <c r="AOZ17" s="279"/>
      <c r="APA17" s="279"/>
      <c r="APB17" s="279"/>
      <c r="APC17" s="279"/>
      <c r="APD17" s="279"/>
      <c r="APE17" s="279"/>
      <c r="APF17" s="279"/>
      <c r="APG17" s="279"/>
      <c r="APH17" s="279"/>
      <c r="API17" s="279"/>
      <c r="APJ17" s="279"/>
      <c r="APK17" s="279"/>
      <c r="APL17" s="279"/>
      <c r="APM17" s="279"/>
      <c r="APN17" s="279"/>
      <c r="APO17" s="279"/>
      <c r="APP17" s="279"/>
      <c r="APQ17" s="279"/>
      <c r="APR17" s="279"/>
      <c r="APS17" s="279"/>
      <c r="APT17" s="279"/>
      <c r="APU17" s="279"/>
      <c r="APV17" s="279"/>
      <c r="APW17" s="279"/>
      <c r="APX17" s="279"/>
      <c r="APY17" s="279"/>
      <c r="APZ17" s="279"/>
      <c r="AQA17" s="279"/>
      <c r="AQB17" s="279"/>
      <c r="AQC17" s="279"/>
      <c r="AQD17" s="279"/>
      <c r="AQE17" s="279"/>
      <c r="AQF17" s="279"/>
      <c r="AQG17" s="279"/>
      <c r="AQH17" s="279"/>
      <c r="AQI17" s="279"/>
      <c r="AQJ17" s="279"/>
      <c r="AQK17" s="279"/>
      <c r="AQL17" s="279"/>
      <c r="AQM17" s="279"/>
      <c r="AQN17" s="279"/>
      <c r="AQO17" s="279"/>
      <c r="AQP17" s="279"/>
      <c r="AQQ17" s="279"/>
      <c r="AQR17" s="279"/>
      <c r="AQS17" s="279"/>
      <c r="AQT17" s="279"/>
      <c r="AQU17" s="279"/>
      <c r="AQV17" s="279"/>
      <c r="AQW17" s="279"/>
      <c r="AQX17" s="279"/>
      <c r="AQY17" s="279"/>
      <c r="AQZ17" s="279"/>
      <c r="ARA17" s="279"/>
      <c r="ARB17" s="279"/>
      <c r="ARC17" s="279"/>
      <c r="ARD17" s="279"/>
      <c r="ARE17" s="279"/>
      <c r="ARF17" s="279"/>
      <c r="ARG17" s="279"/>
      <c r="ARH17" s="279"/>
      <c r="ARI17" s="279"/>
      <c r="ARJ17" s="279"/>
      <c r="ARK17" s="279"/>
      <c r="ARL17" s="279"/>
      <c r="ARM17" s="279"/>
      <c r="ARN17" s="279"/>
      <c r="ARO17" s="279"/>
      <c r="ARP17" s="279"/>
      <c r="ARQ17" s="279"/>
      <c r="ARR17" s="279"/>
      <c r="ARS17" s="279"/>
      <c r="ART17" s="279"/>
      <c r="ARU17" s="279"/>
      <c r="ARV17" s="279"/>
      <c r="ARW17" s="279"/>
      <c r="ARX17" s="279"/>
      <c r="ARY17" s="279"/>
      <c r="ARZ17" s="279"/>
      <c r="ASA17" s="279"/>
      <c r="ASB17" s="279"/>
      <c r="ASC17" s="279"/>
      <c r="ASD17" s="279"/>
      <c r="ASE17" s="279"/>
      <c r="ASF17" s="279"/>
      <c r="ASG17" s="279"/>
      <c r="ASH17" s="279"/>
      <c r="ASI17" s="279"/>
      <c r="ASJ17" s="279"/>
      <c r="ASK17" s="279"/>
      <c r="ASL17" s="279"/>
      <c r="ASM17" s="279"/>
      <c r="ASN17" s="279"/>
      <c r="ASO17" s="279"/>
      <c r="ASP17" s="279"/>
      <c r="ASQ17" s="279"/>
      <c r="ASR17" s="279"/>
      <c r="ASS17" s="279"/>
      <c r="AST17" s="279"/>
      <c r="ASU17" s="279"/>
      <c r="ASV17" s="279"/>
      <c r="ASW17" s="279"/>
      <c r="ASX17" s="279"/>
      <c r="ASY17" s="279"/>
      <c r="ASZ17" s="279"/>
      <c r="ATA17" s="279"/>
      <c r="ATB17" s="279"/>
      <c r="ATC17" s="279"/>
      <c r="ATD17" s="279"/>
      <c r="ATE17" s="279"/>
      <c r="ATF17" s="279"/>
      <c r="ATG17" s="279"/>
      <c r="ATH17" s="279"/>
      <c r="ATI17" s="279"/>
      <c r="ATJ17" s="279"/>
      <c r="ATK17" s="279"/>
      <c r="ATL17" s="279"/>
      <c r="ATM17" s="279"/>
      <c r="ATN17" s="279"/>
      <c r="ATO17" s="279"/>
      <c r="ATP17" s="279"/>
      <c r="ATQ17" s="279"/>
      <c r="ATR17" s="279"/>
      <c r="ATS17" s="279"/>
      <c r="ATT17" s="279"/>
      <c r="ATU17" s="279"/>
      <c r="ATV17" s="279"/>
      <c r="ATW17" s="279"/>
      <c r="ATX17" s="279"/>
      <c r="ATY17" s="279"/>
      <c r="ATZ17" s="279"/>
      <c r="AUA17" s="279"/>
      <c r="AUB17" s="279"/>
      <c r="AUC17" s="279"/>
      <c r="AUD17" s="279"/>
      <c r="AUE17" s="279"/>
      <c r="AUF17" s="279"/>
      <c r="AUG17" s="279"/>
      <c r="AUH17" s="279"/>
      <c r="AUI17" s="279"/>
      <c r="AUJ17" s="279"/>
      <c r="AUK17" s="279"/>
      <c r="AUL17" s="279"/>
      <c r="AUM17" s="279"/>
      <c r="AUN17" s="279"/>
      <c r="AUO17" s="279"/>
      <c r="AUP17" s="279"/>
      <c r="AUQ17" s="279"/>
      <c r="AUR17" s="279"/>
      <c r="AUS17" s="279"/>
      <c r="AUT17" s="279"/>
      <c r="AUU17" s="279"/>
      <c r="AUV17" s="279"/>
      <c r="AUW17" s="279"/>
      <c r="AUX17" s="279"/>
      <c r="AUY17" s="279"/>
      <c r="AUZ17" s="279"/>
      <c r="AVA17" s="279"/>
      <c r="AVB17" s="279"/>
      <c r="AVC17" s="279"/>
      <c r="AVD17" s="279"/>
      <c r="AVE17" s="279"/>
      <c r="AVF17" s="279"/>
      <c r="AVG17" s="279"/>
      <c r="AVH17" s="279"/>
      <c r="AVI17" s="279"/>
      <c r="AVJ17" s="279"/>
      <c r="AVK17" s="279"/>
      <c r="AVL17" s="279"/>
      <c r="AVM17" s="279"/>
      <c r="AVN17" s="279"/>
      <c r="AVO17" s="279"/>
      <c r="AVP17" s="279"/>
      <c r="AVQ17" s="279"/>
      <c r="AVR17" s="279"/>
      <c r="AVS17" s="279"/>
      <c r="AVT17" s="279"/>
      <c r="AVU17" s="279"/>
      <c r="AVV17" s="279"/>
      <c r="AVW17" s="279"/>
      <c r="AVX17" s="279"/>
      <c r="AVY17" s="279"/>
      <c r="AVZ17" s="279"/>
      <c r="AWA17" s="279"/>
      <c r="AWB17" s="279"/>
      <c r="AWC17" s="279"/>
      <c r="AWD17" s="279"/>
      <c r="AWE17" s="279"/>
      <c r="AWF17" s="279"/>
      <c r="AWG17" s="279"/>
      <c r="AWH17" s="279"/>
      <c r="AWI17" s="279"/>
      <c r="AWJ17" s="279"/>
      <c r="AWK17" s="279"/>
      <c r="AWL17" s="279"/>
      <c r="AWM17" s="279"/>
      <c r="AWN17" s="279"/>
      <c r="AWO17" s="279"/>
      <c r="AWP17" s="279"/>
      <c r="AWQ17" s="279"/>
      <c r="AWR17" s="279"/>
      <c r="AWS17" s="279"/>
      <c r="AWT17" s="279"/>
      <c r="AWU17" s="279"/>
      <c r="AWV17" s="279"/>
      <c r="AWW17" s="279"/>
      <c r="AWX17" s="279"/>
      <c r="AWY17" s="279"/>
      <c r="AWZ17" s="279"/>
      <c r="AXA17" s="279"/>
      <c r="AXB17" s="279"/>
      <c r="AXC17" s="279"/>
      <c r="AXD17" s="279"/>
      <c r="AXE17" s="279"/>
      <c r="AXF17" s="279"/>
      <c r="AXG17" s="279"/>
      <c r="AXH17" s="279"/>
      <c r="AXI17" s="279"/>
      <c r="AXJ17" s="279"/>
      <c r="AXK17" s="279"/>
      <c r="AXL17" s="279"/>
      <c r="AXM17" s="279"/>
      <c r="AXN17" s="279"/>
      <c r="AXO17" s="279"/>
      <c r="AXP17" s="279"/>
      <c r="AXQ17" s="279"/>
      <c r="AXR17" s="279"/>
      <c r="AXS17" s="279"/>
      <c r="AXT17" s="279"/>
      <c r="AXU17" s="279"/>
      <c r="AXV17" s="279"/>
      <c r="AXW17" s="279"/>
      <c r="AXX17" s="279"/>
      <c r="AXY17" s="279"/>
      <c r="AXZ17" s="279"/>
      <c r="AYA17" s="279"/>
      <c r="AYB17" s="279"/>
      <c r="AYC17" s="279"/>
      <c r="AYD17" s="279"/>
      <c r="AYE17" s="279"/>
      <c r="AYF17" s="279"/>
      <c r="AYG17" s="279"/>
      <c r="AYH17" s="279"/>
      <c r="AYI17" s="279"/>
      <c r="AYJ17" s="279"/>
      <c r="AYK17" s="279"/>
      <c r="AYL17" s="279"/>
      <c r="AYM17" s="279"/>
      <c r="AYN17" s="279"/>
      <c r="AYO17" s="279"/>
      <c r="AYP17" s="279"/>
      <c r="AYQ17" s="279"/>
      <c r="AYR17" s="279"/>
      <c r="AYS17" s="279"/>
      <c r="AYT17" s="279"/>
      <c r="AYU17" s="279"/>
      <c r="AYV17" s="279"/>
      <c r="AYW17" s="279"/>
      <c r="AYX17" s="279"/>
      <c r="AYY17" s="279"/>
      <c r="AYZ17" s="279"/>
      <c r="AZA17" s="279"/>
      <c r="AZB17" s="279"/>
      <c r="AZC17" s="279"/>
      <c r="AZD17" s="279"/>
      <c r="AZE17" s="279"/>
      <c r="AZF17" s="279"/>
      <c r="AZG17" s="279"/>
      <c r="AZH17" s="279"/>
      <c r="AZI17" s="279"/>
      <c r="AZJ17" s="279"/>
      <c r="AZK17" s="279"/>
      <c r="AZL17" s="279"/>
      <c r="AZM17" s="279"/>
      <c r="AZN17" s="279"/>
      <c r="AZO17" s="279"/>
      <c r="AZP17" s="279"/>
      <c r="AZQ17" s="279"/>
      <c r="AZR17" s="279"/>
      <c r="AZS17" s="279"/>
      <c r="AZT17" s="279"/>
      <c r="AZU17" s="279"/>
      <c r="AZV17" s="279"/>
      <c r="AZW17" s="279"/>
      <c r="AZX17" s="279"/>
      <c r="AZY17" s="279"/>
      <c r="AZZ17" s="279"/>
      <c r="BAA17" s="279"/>
      <c r="BAB17" s="279"/>
      <c r="BAC17" s="279"/>
      <c r="BAD17" s="279"/>
      <c r="BAE17" s="279"/>
      <c r="BAF17" s="279"/>
      <c r="BAG17" s="279"/>
      <c r="BAH17" s="279"/>
      <c r="BAI17" s="279"/>
      <c r="BAJ17" s="279"/>
      <c r="BAK17" s="279"/>
      <c r="BAL17" s="279"/>
      <c r="BAM17" s="279"/>
      <c r="BAN17" s="279"/>
      <c r="BAO17" s="279"/>
      <c r="BAP17" s="279"/>
      <c r="BAQ17" s="279"/>
      <c r="BAR17" s="279"/>
      <c r="BAS17" s="279"/>
      <c r="BAT17" s="279"/>
      <c r="BAU17" s="279"/>
      <c r="BAV17" s="279"/>
      <c r="BAW17" s="279"/>
      <c r="BAX17" s="279"/>
      <c r="BAY17" s="279"/>
      <c r="BAZ17" s="279"/>
      <c r="BBA17" s="279"/>
      <c r="BBB17" s="279"/>
      <c r="BBC17" s="279"/>
      <c r="BBD17" s="279"/>
      <c r="BBE17" s="279"/>
      <c r="BBF17" s="279"/>
      <c r="BBG17" s="279"/>
      <c r="BBH17" s="279"/>
      <c r="BBI17" s="279"/>
      <c r="BBJ17" s="279"/>
      <c r="BBK17" s="279"/>
      <c r="BBL17" s="279"/>
      <c r="BBM17" s="279"/>
      <c r="BBN17" s="279"/>
      <c r="BBO17" s="279"/>
      <c r="BBP17" s="279"/>
      <c r="BBQ17" s="279"/>
      <c r="BBR17" s="279"/>
      <c r="BBS17" s="279"/>
      <c r="BBT17" s="279"/>
      <c r="BBU17" s="279"/>
      <c r="BBV17" s="279"/>
      <c r="BBW17" s="279"/>
      <c r="BBX17" s="279"/>
      <c r="BBY17" s="279"/>
      <c r="BBZ17" s="279"/>
      <c r="BCA17" s="279"/>
      <c r="BCB17" s="279"/>
      <c r="BCC17" s="279"/>
      <c r="BCD17" s="279"/>
      <c r="BCE17" s="279"/>
      <c r="BCF17" s="279"/>
      <c r="BCG17" s="279"/>
      <c r="BCH17" s="279"/>
      <c r="BCI17" s="279"/>
      <c r="BCJ17" s="279"/>
      <c r="BCK17" s="279"/>
      <c r="BCL17" s="279"/>
      <c r="BCM17" s="279"/>
      <c r="BCN17" s="279"/>
      <c r="BCO17" s="279"/>
      <c r="BCP17" s="279"/>
      <c r="BCQ17" s="279"/>
      <c r="BCR17" s="279"/>
      <c r="BCS17" s="279"/>
      <c r="BCT17" s="279"/>
      <c r="BCU17" s="279"/>
      <c r="BCV17" s="279"/>
      <c r="BCW17" s="279"/>
      <c r="BCX17" s="279"/>
      <c r="BCY17" s="279"/>
      <c r="BCZ17" s="279"/>
      <c r="BDA17" s="279"/>
      <c r="BDB17" s="279"/>
      <c r="BDC17" s="279"/>
      <c r="BDD17" s="279"/>
      <c r="BDE17" s="279"/>
      <c r="BDF17" s="279"/>
      <c r="BDG17" s="279"/>
      <c r="BDH17" s="279"/>
      <c r="BDI17" s="279"/>
      <c r="BDJ17" s="279"/>
      <c r="BDK17" s="279"/>
      <c r="BDL17" s="279"/>
      <c r="BDM17" s="279"/>
      <c r="BDN17" s="279"/>
      <c r="BDO17" s="279"/>
      <c r="BDP17" s="279"/>
      <c r="BDQ17" s="279"/>
      <c r="BDR17" s="279"/>
      <c r="BDS17" s="279"/>
      <c r="BDT17" s="279"/>
      <c r="BDU17" s="279"/>
      <c r="BDV17" s="279"/>
      <c r="BDW17" s="279"/>
      <c r="BDX17" s="279"/>
      <c r="BDY17" s="279"/>
      <c r="BDZ17" s="279"/>
      <c r="BEA17" s="279"/>
      <c r="BEB17" s="279"/>
      <c r="BEC17" s="279"/>
      <c r="BED17" s="279"/>
      <c r="BEE17" s="279"/>
      <c r="BEF17" s="279"/>
      <c r="BEG17" s="279"/>
      <c r="BEH17" s="279"/>
      <c r="BEI17" s="279"/>
      <c r="BEJ17" s="279"/>
      <c r="BEK17" s="279"/>
      <c r="BEL17" s="279"/>
      <c r="BEM17" s="279"/>
      <c r="BEN17" s="279"/>
      <c r="BEO17" s="279"/>
      <c r="BEP17" s="279"/>
      <c r="BEQ17" s="279"/>
      <c r="BER17" s="279"/>
      <c r="BES17" s="279"/>
      <c r="BET17" s="279"/>
      <c r="BEU17" s="279"/>
      <c r="BEV17" s="279"/>
      <c r="BEW17" s="279"/>
      <c r="BEX17" s="279"/>
      <c r="BEY17" s="279"/>
      <c r="BEZ17" s="279"/>
      <c r="BFA17" s="279"/>
      <c r="BFB17" s="279"/>
      <c r="BFC17" s="279"/>
      <c r="BFD17" s="279"/>
      <c r="BFE17" s="279"/>
      <c r="BFF17" s="279"/>
      <c r="BFG17" s="279"/>
      <c r="BFH17" s="279"/>
      <c r="BFI17" s="279"/>
      <c r="BFJ17" s="279"/>
      <c r="BFK17" s="279"/>
      <c r="BFL17" s="279"/>
      <c r="BFM17" s="279"/>
      <c r="BFN17" s="279"/>
      <c r="BFO17" s="279"/>
      <c r="BFP17" s="279"/>
      <c r="BFQ17" s="279"/>
      <c r="BFR17" s="279"/>
      <c r="BFS17" s="279"/>
      <c r="BFT17" s="279"/>
      <c r="BFU17" s="279"/>
      <c r="BFV17" s="279"/>
      <c r="BFW17" s="279"/>
      <c r="BFX17" s="279"/>
      <c r="BFY17" s="279"/>
      <c r="BFZ17" s="279"/>
      <c r="BGA17" s="279"/>
      <c r="BGB17" s="279"/>
      <c r="BGC17" s="279"/>
      <c r="BGD17" s="279"/>
      <c r="BGE17" s="279"/>
      <c r="BGF17" s="279"/>
      <c r="BGG17" s="279"/>
      <c r="BGH17" s="279"/>
      <c r="BGI17" s="279"/>
      <c r="BGJ17" s="279"/>
      <c r="BGK17" s="279"/>
      <c r="BGL17" s="279"/>
      <c r="BGM17" s="279"/>
      <c r="BGN17" s="279"/>
      <c r="BGO17" s="279"/>
      <c r="BGP17" s="279"/>
      <c r="BGQ17" s="279"/>
      <c r="BGR17" s="279"/>
      <c r="BGS17" s="279"/>
      <c r="BGT17" s="279"/>
      <c r="BGU17" s="279"/>
      <c r="BGV17" s="279"/>
      <c r="BGW17" s="279"/>
      <c r="BGX17" s="279"/>
      <c r="BGY17" s="279"/>
      <c r="BGZ17" s="279"/>
      <c r="BHA17" s="279"/>
      <c r="BHB17" s="279"/>
      <c r="BHC17" s="279"/>
      <c r="BHD17" s="279"/>
      <c r="BHE17" s="279"/>
      <c r="BHF17" s="279"/>
      <c r="BHG17" s="279"/>
      <c r="BHH17" s="279"/>
      <c r="BHI17" s="279"/>
      <c r="BHJ17" s="279"/>
      <c r="BHK17" s="279"/>
      <c r="BHL17" s="279"/>
      <c r="BHM17" s="279"/>
      <c r="BHN17" s="279"/>
      <c r="BHO17" s="279"/>
      <c r="BHP17" s="279"/>
      <c r="BHQ17" s="279"/>
      <c r="BHR17" s="279"/>
      <c r="BHS17" s="279"/>
      <c r="BHT17" s="279"/>
      <c r="BHU17" s="279"/>
      <c r="BHV17" s="279"/>
      <c r="BHW17" s="279"/>
      <c r="BHX17" s="279"/>
      <c r="BHY17" s="279"/>
      <c r="BHZ17" s="279"/>
      <c r="BIA17" s="279"/>
      <c r="BIB17" s="279"/>
      <c r="BIC17" s="279"/>
      <c r="BID17" s="279"/>
      <c r="BIE17" s="279"/>
      <c r="BIF17" s="279"/>
      <c r="BIG17" s="279"/>
      <c r="BIH17" s="279"/>
      <c r="BII17" s="279"/>
      <c r="BIJ17" s="279"/>
      <c r="BIK17" s="279"/>
      <c r="BIL17" s="279"/>
      <c r="BIM17" s="279"/>
      <c r="BIN17" s="279"/>
      <c r="BIO17" s="279"/>
      <c r="BIP17" s="279"/>
      <c r="BIQ17" s="279"/>
      <c r="BIR17" s="279"/>
      <c r="BIS17" s="279"/>
      <c r="BIT17" s="279"/>
      <c r="BIU17" s="279"/>
      <c r="BIV17" s="279"/>
      <c r="BIW17" s="279"/>
      <c r="BIX17" s="279"/>
      <c r="BIY17" s="279"/>
      <c r="BIZ17" s="279"/>
      <c r="BJA17" s="279"/>
      <c r="BJB17" s="279"/>
      <c r="BJC17" s="279"/>
      <c r="BJD17" s="279"/>
      <c r="BJE17" s="279"/>
      <c r="BJF17" s="279"/>
      <c r="BJG17" s="279"/>
      <c r="BJH17" s="279"/>
      <c r="BJI17" s="279"/>
      <c r="BJJ17" s="279"/>
      <c r="BJK17" s="279"/>
      <c r="BJL17" s="279"/>
      <c r="BJM17" s="279"/>
      <c r="BJN17" s="279"/>
      <c r="BJO17" s="279"/>
      <c r="BJP17" s="279"/>
      <c r="BJQ17" s="279"/>
      <c r="BJR17" s="279"/>
      <c r="BJS17" s="279"/>
      <c r="BJT17" s="279"/>
      <c r="BJU17" s="279"/>
      <c r="BJV17" s="279"/>
      <c r="BJW17" s="279"/>
      <c r="BJX17" s="279"/>
      <c r="BJY17" s="279"/>
      <c r="BJZ17" s="279"/>
      <c r="BKA17" s="279"/>
      <c r="BKB17" s="279"/>
      <c r="BKC17" s="279"/>
      <c r="BKD17" s="279"/>
      <c r="BKE17" s="279"/>
      <c r="BKF17" s="279"/>
      <c r="BKG17" s="279"/>
      <c r="BKH17" s="279"/>
      <c r="BKI17" s="279"/>
      <c r="BKJ17" s="279"/>
      <c r="BKK17" s="279"/>
      <c r="BKL17" s="279"/>
      <c r="BKM17" s="279"/>
      <c r="BKN17" s="279"/>
      <c r="BKO17" s="279"/>
      <c r="BKP17" s="279"/>
      <c r="BKQ17" s="279"/>
      <c r="BKR17" s="279"/>
      <c r="BKS17" s="279"/>
      <c r="BKT17" s="279"/>
      <c r="BKU17" s="279"/>
      <c r="BKV17" s="279"/>
      <c r="BKW17" s="279"/>
      <c r="BKX17" s="279"/>
      <c r="BKY17" s="279"/>
      <c r="BKZ17" s="279"/>
      <c r="BLA17" s="279"/>
      <c r="BLB17" s="279"/>
      <c r="BLC17" s="279"/>
      <c r="BLD17" s="279"/>
      <c r="BLE17" s="279"/>
      <c r="BLF17" s="279"/>
      <c r="BLG17" s="279"/>
      <c r="BLH17" s="279"/>
      <c r="BLI17" s="279"/>
      <c r="BLJ17" s="279"/>
      <c r="BLK17" s="279"/>
      <c r="BLL17" s="279"/>
      <c r="BLM17" s="279"/>
      <c r="BLN17" s="279"/>
      <c r="BLO17" s="279"/>
      <c r="BLP17" s="279"/>
      <c r="BLQ17" s="279"/>
      <c r="BLR17" s="279"/>
      <c r="BLS17" s="279"/>
      <c r="BLT17" s="279"/>
      <c r="BLU17" s="279"/>
      <c r="BLV17" s="279"/>
      <c r="BLW17" s="279"/>
      <c r="BLX17" s="279"/>
      <c r="BLY17" s="279"/>
      <c r="BLZ17" s="279"/>
      <c r="BMA17" s="279"/>
      <c r="BMB17" s="279"/>
      <c r="BMC17" s="279"/>
      <c r="BMD17" s="279"/>
      <c r="BME17" s="279"/>
      <c r="BMF17" s="279"/>
      <c r="BMG17" s="279"/>
      <c r="BMH17" s="279"/>
      <c r="BMI17" s="279"/>
      <c r="BMJ17" s="279"/>
      <c r="BMK17" s="279"/>
      <c r="BML17" s="279"/>
      <c r="BMM17" s="279"/>
      <c r="BMN17" s="279"/>
      <c r="BMO17" s="279"/>
      <c r="BMP17" s="279"/>
      <c r="BMQ17" s="279"/>
      <c r="BMR17" s="279"/>
      <c r="BMS17" s="279"/>
      <c r="BMT17" s="279"/>
      <c r="BMU17" s="279"/>
      <c r="BMV17" s="279"/>
      <c r="BMW17" s="279"/>
      <c r="BMX17" s="279"/>
      <c r="BMY17" s="279"/>
      <c r="BMZ17" s="279"/>
      <c r="BNA17" s="279"/>
      <c r="BNB17" s="279"/>
      <c r="BNC17" s="279"/>
      <c r="BND17" s="279"/>
      <c r="BNE17" s="279"/>
      <c r="BNF17" s="279"/>
      <c r="BNG17" s="279"/>
      <c r="BNH17" s="279"/>
      <c r="BNI17" s="279"/>
      <c r="BNJ17" s="279"/>
      <c r="BNK17" s="279"/>
      <c r="BNL17" s="279"/>
      <c r="BNM17" s="279"/>
      <c r="BNN17" s="279"/>
      <c r="BNO17" s="279"/>
      <c r="BNP17" s="279"/>
      <c r="BNQ17" s="279"/>
      <c r="BNR17" s="279"/>
      <c r="BNS17" s="279"/>
      <c r="BNT17" s="279"/>
      <c r="BNU17" s="279"/>
      <c r="BNV17" s="279"/>
      <c r="BNW17" s="279"/>
      <c r="BNX17" s="279"/>
      <c r="BNY17" s="279"/>
      <c r="BNZ17" s="279"/>
      <c r="BOA17" s="279"/>
      <c r="BOB17" s="279"/>
      <c r="BOC17" s="279"/>
      <c r="BOD17" s="279"/>
      <c r="BOE17" s="279"/>
      <c r="BOF17" s="279"/>
      <c r="BOG17" s="279"/>
      <c r="BOH17" s="279"/>
      <c r="BOI17" s="279"/>
      <c r="BOJ17" s="279"/>
      <c r="BOK17" s="279"/>
      <c r="BOL17" s="279"/>
      <c r="BOM17" s="279"/>
      <c r="BON17" s="279"/>
      <c r="BOO17" s="279"/>
      <c r="BOP17" s="279"/>
      <c r="BOQ17" s="279"/>
      <c r="BOR17" s="279"/>
      <c r="BOS17" s="279"/>
      <c r="BOT17" s="279"/>
      <c r="BOU17" s="279"/>
      <c r="BOV17" s="279"/>
      <c r="BOW17" s="279"/>
      <c r="BOX17" s="279"/>
      <c r="BOY17" s="279"/>
      <c r="BOZ17" s="279"/>
      <c r="BPA17" s="279"/>
      <c r="BPB17" s="279"/>
      <c r="BPC17" s="279"/>
      <c r="BPD17" s="279"/>
      <c r="BPE17" s="279"/>
      <c r="BPF17" s="279"/>
      <c r="BPG17" s="279"/>
      <c r="BPH17" s="279"/>
      <c r="BPI17" s="279"/>
      <c r="BPJ17" s="279"/>
      <c r="BPK17" s="279"/>
      <c r="BPL17" s="279"/>
      <c r="BPM17" s="279"/>
      <c r="BPN17" s="279"/>
      <c r="BPO17" s="279"/>
      <c r="BPP17" s="279"/>
      <c r="BPQ17" s="279"/>
      <c r="BPR17" s="279"/>
      <c r="BPS17" s="279"/>
      <c r="BPT17" s="279"/>
      <c r="BPU17" s="279"/>
      <c r="BPV17" s="279"/>
      <c r="BPW17" s="279"/>
      <c r="BPX17" s="279"/>
      <c r="BPY17" s="279"/>
      <c r="BPZ17" s="279"/>
      <c r="BQA17" s="279"/>
      <c r="BQB17" s="279"/>
      <c r="BQC17" s="279"/>
      <c r="BQD17" s="279"/>
      <c r="BQE17" s="279"/>
      <c r="BQF17" s="279"/>
      <c r="BQG17" s="279"/>
      <c r="BQH17" s="279"/>
      <c r="BQI17" s="279"/>
      <c r="BQJ17" s="279"/>
      <c r="BQK17" s="279"/>
      <c r="BQL17" s="279"/>
      <c r="BQM17" s="279"/>
      <c r="BQN17" s="279"/>
      <c r="BQO17" s="279"/>
      <c r="BQP17" s="279"/>
      <c r="BQQ17" s="279"/>
      <c r="BQR17" s="279"/>
      <c r="BQS17" s="279"/>
      <c r="BQT17" s="279"/>
      <c r="BQU17" s="279"/>
      <c r="BQV17" s="279"/>
      <c r="BQW17" s="279"/>
      <c r="BQX17" s="279"/>
      <c r="BQY17" s="279"/>
      <c r="BQZ17" s="279"/>
      <c r="BRA17" s="279"/>
      <c r="BRB17" s="279"/>
      <c r="BRC17" s="279"/>
      <c r="BRD17" s="279"/>
      <c r="BRE17" s="279"/>
      <c r="BRF17" s="279"/>
      <c r="BRG17" s="279"/>
      <c r="BRH17" s="279"/>
      <c r="BRI17" s="279"/>
      <c r="BRJ17" s="279"/>
      <c r="BRK17" s="279"/>
      <c r="BRL17" s="279"/>
      <c r="BRM17" s="279"/>
      <c r="BRN17" s="279"/>
      <c r="BRO17" s="279"/>
      <c r="BRP17" s="279"/>
      <c r="BRQ17" s="279"/>
      <c r="BRR17" s="279"/>
      <c r="BRS17" s="279"/>
      <c r="BRT17" s="279"/>
      <c r="BRU17" s="279"/>
      <c r="BRV17" s="279"/>
      <c r="BRW17" s="279"/>
      <c r="BRX17" s="279"/>
      <c r="BRY17" s="279"/>
      <c r="BRZ17" s="279"/>
      <c r="BSA17" s="279"/>
      <c r="BSB17" s="279"/>
      <c r="BSC17" s="279"/>
      <c r="BSD17" s="279"/>
      <c r="BSE17" s="279"/>
      <c r="BSF17" s="279"/>
      <c r="BSG17" s="279"/>
      <c r="BSH17" s="279"/>
      <c r="BSI17" s="279"/>
      <c r="BSJ17" s="279"/>
      <c r="BSK17" s="279"/>
      <c r="BSL17" s="279"/>
      <c r="BSM17" s="279"/>
      <c r="BSN17" s="279"/>
      <c r="BSO17" s="279"/>
      <c r="BSP17" s="279"/>
      <c r="BSQ17" s="279"/>
      <c r="BSR17" s="279"/>
      <c r="BSS17" s="279"/>
      <c r="BST17" s="279"/>
      <c r="BSU17" s="279"/>
      <c r="BSV17" s="279"/>
      <c r="BSW17" s="279"/>
      <c r="BSX17" s="279"/>
      <c r="BSY17" s="279"/>
      <c r="BSZ17" s="279"/>
      <c r="BTA17" s="279"/>
      <c r="BTB17" s="279"/>
      <c r="BTC17" s="279"/>
      <c r="BTD17" s="279"/>
      <c r="BTE17" s="279"/>
      <c r="BTF17" s="279"/>
      <c r="BTG17" s="279"/>
      <c r="BTH17" s="279"/>
      <c r="BTI17" s="279"/>
      <c r="BTJ17" s="279"/>
      <c r="BTK17" s="279"/>
      <c r="BTL17" s="279"/>
      <c r="BTM17" s="279"/>
      <c r="BTN17" s="279"/>
      <c r="BTO17" s="279"/>
      <c r="BTP17" s="279"/>
      <c r="BTQ17" s="279"/>
      <c r="BTR17" s="279"/>
      <c r="BTS17" s="279"/>
      <c r="BTT17" s="279"/>
      <c r="BTU17" s="279"/>
      <c r="BTV17" s="279"/>
      <c r="BTW17" s="279"/>
      <c r="BTX17" s="279"/>
      <c r="BTY17" s="279"/>
      <c r="BTZ17" s="279"/>
      <c r="BUA17" s="279"/>
      <c r="BUB17" s="279"/>
      <c r="BUC17" s="279"/>
      <c r="BUD17" s="279"/>
      <c r="BUE17" s="279"/>
      <c r="BUF17" s="279"/>
      <c r="BUG17" s="279"/>
      <c r="BUH17" s="279"/>
      <c r="BUI17" s="279"/>
      <c r="BUJ17" s="279"/>
      <c r="BUK17" s="279"/>
      <c r="BUL17" s="279"/>
      <c r="BUM17" s="279"/>
      <c r="BUN17" s="279"/>
      <c r="BUO17" s="279"/>
      <c r="BUP17" s="279"/>
      <c r="BUQ17" s="279"/>
      <c r="BUR17" s="279"/>
      <c r="BUS17" s="279"/>
      <c r="BUT17" s="279"/>
      <c r="BUU17" s="279"/>
      <c r="BUV17" s="279"/>
      <c r="BUW17" s="279"/>
      <c r="BUX17" s="279"/>
      <c r="BUY17" s="279"/>
      <c r="BUZ17" s="279"/>
      <c r="BVA17" s="279"/>
      <c r="BVB17" s="279"/>
      <c r="BVC17" s="279"/>
      <c r="BVD17" s="279"/>
      <c r="BVE17" s="279"/>
      <c r="BVF17" s="279"/>
      <c r="BVG17" s="279"/>
      <c r="BVH17" s="279"/>
      <c r="BVI17" s="279"/>
      <c r="BVJ17" s="279"/>
      <c r="BVK17" s="279"/>
      <c r="BVL17" s="279"/>
      <c r="BVM17" s="279"/>
      <c r="BVN17" s="279"/>
      <c r="BVO17" s="279"/>
      <c r="BVP17" s="279"/>
      <c r="BVQ17" s="279"/>
      <c r="BVR17" s="279"/>
      <c r="BVS17" s="279"/>
      <c r="BVT17" s="279"/>
      <c r="BVU17" s="279"/>
      <c r="BVV17" s="279"/>
      <c r="BVW17" s="279"/>
      <c r="BVX17" s="279"/>
      <c r="BVY17" s="279"/>
      <c r="BVZ17" s="279"/>
      <c r="BWA17" s="279"/>
      <c r="BWB17" s="279"/>
      <c r="BWC17" s="279"/>
      <c r="BWD17" s="279"/>
      <c r="BWE17" s="279"/>
      <c r="BWF17" s="279"/>
      <c r="BWG17" s="279"/>
      <c r="BWH17" s="279"/>
      <c r="BWI17" s="279"/>
      <c r="BWJ17" s="279"/>
      <c r="BWK17" s="279"/>
      <c r="BWL17" s="279"/>
      <c r="BWM17" s="279"/>
      <c r="BWN17" s="279"/>
      <c r="BWO17" s="279"/>
      <c r="BWP17" s="279"/>
      <c r="BWQ17" s="279"/>
      <c r="BWR17" s="279"/>
      <c r="BWS17" s="279"/>
      <c r="BWT17" s="279"/>
      <c r="BWU17" s="279"/>
      <c r="BWV17" s="279"/>
      <c r="BWW17" s="279"/>
      <c r="BWX17" s="279"/>
      <c r="BWY17" s="279"/>
      <c r="BWZ17" s="279"/>
      <c r="BXA17" s="279"/>
      <c r="BXB17" s="279"/>
      <c r="BXC17" s="279"/>
      <c r="BXD17" s="279"/>
      <c r="BXE17" s="279"/>
      <c r="BXF17" s="279"/>
      <c r="BXG17" s="279"/>
      <c r="BXH17" s="279"/>
      <c r="BXI17" s="279"/>
      <c r="BXJ17" s="279"/>
      <c r="BXK17" s="279"/>
      <c r="BXL17" s="279"/>
      <c r="BXM17" s="279"/>
      <c r="BXN17" s="279"/>
      <c r="BXO17" s="279"/>
      <c r="BXP17" s="279"/>
      <c r="BXQ17" s="279"/>
      <c r="BXR17" s="279"/>
      <c r="BXS17" s="279"/>
      <c r="BXT17" s="279"/>
      <c r="BXU17" s="279"/>
      <c r="BXV17" s="279"/>
      <c r="BXW17" s="279"/>
      <c r="BXX17" s="279"/>
      <c r="BXY17" s="279"/>
      <c r="BXZ17" s="279"/>
      <c r="BYA17" s="279"/>
      <c r="BYB17" s="279"/>
      <c r="BYC17" s="279"/>
      <c r="BYD17" s="279"/>
      <c r="BYE17" s="279"/>
      <c r="BYF17" s="279"/>
      <c r="BYG17" s="279"/>
      <c r="BYH17" s="279"/>
      <c r="BYI17" s="279"/>
      <c r="BYJ17" s="279"/>
      <c r="BYK17" s="279"/>
      <c r="BYL17" s="279"/>
      <c r="BYM17" s="279"/>
      <c r="BYN17" s="279"/>
      <c r="BYO17" s="279"/>
      <c r="BYP17" s="279"/>
      <c r="BYQ17" s="279"/>
      <c r="BYR17" s="279"/>
      <c r="BYS17" s="279"/>
      <c r="BYT17" s="279"/>
      <c r="BYU17" s="279"/>
      <c r="BYV17" s="279"/>
      <c r="BYW17" s="279"/>
      <c r="BYX17" s="279"/>
      <c r="BYY17" s="279"/>
      <c r="BYZ17" s="279"/>
      <c r="BZA17" s="279"/>
      <c r="BZB17" s="279"/>
      <c r="BZC17" s="279"/>
      <c r="BZD17" s="279"/>
      <c r="BZE17" s="279"/>
      <c r="BZF17" s="279"/>
      <c r="BZG17" s="279"/>
      <c r="BZH17" s="279"/>
      <c r="BZI17" s="279"/>
      <c r="BZJ17" s="279"/>
      <c r="BZK17" s="279"/>
      <c r="BZL17" s="279"/>
      <c r="BZM17" s="279"/>
      <c r="BZN17" s="279"/>
      <c r="BZO17" s="279"/>
      <c r="BZP17" s="279"/>
      <c r="BZQ17" s="279"/>
      <c r="BZR17" s="279"/>
      <c r="BZS17" s="279"/>
      <c r="BZT17" s="279"/>
      <c r="BZU17" s="279"/>
      <c r="BZV17" s="279"/>
      <c r="BZW17" s="279"/>
      <c r="BZX17" s="279"/>
      <c r="BZY17" s="279"/>
      <c r="BZZ17" s="279"/>
      <c r="CAA17" s="279"/>
      <c r="CAB17" s="279"/>
      <c r="CAC17" s="279"/>
      <c r="CAD17" s="279"/>
      <c r="CAE17" s="279"/>
      <c r="CAF17" s="279"/>
      <c r="CAG17" s="279"/>
      <c r="CAH17" s="279"/>
      <c r="CAI17" s="279"/>
      <c r="CAJ17" s="279"/>
      <c r="CAK17" s="279"/>
      <c r="CAL17" s="279"/>
      <c r="CAM17" s="279"/>
      <c r="CAN17" s="279"/>
      <c r="CAO17" s="279"/>
      <c r="CAP17" s="279"/>
      <c r="CAQ17" s="279"/>
      <c r="CAR17" s="279"/>
      <c r="CAS17" s="279"/>
      <c r="CAT17" s="279"/>
      <c r="CAU17" s="279"/>
      <c r="CAV17" s="279"/>
      <c r="CAW17" s="279"/>
      <c r="CAX17" s="279"/>
      <c r="CAY17" s="279"/>
      <c r="CAZ17" s="279"/>
      <c r="CBA17" s="279"/>
      <c r="CBB17" s="279"/>
      <c r="CBC17" s="279"/>
      <c r="CBD17" s="279"/>
      <c r="CBE17" s="279"/>
      <c r="CBF17" s="279"/>
      <c r="CBG17" s="279"/>
      <c r="CBH17" s="279"/>
      <c r="CBI17" s="279"/>
      <c r="CBJ17" s="279"/>
      <c r="CBK17" s="279"/>
      <c r="CBL17" s="279"/>
      <c r="CBM17" s="279"/>
      <c r="CBN17" s="279"/>
      <c r="CBO17" s="279"/>
      <c r="CBP17" s="279"/>
      <c r="CBQ17" s="279"/>
      <c r="CBR17" s="279"/>
      <c r="CBS17" s="279"/>
      <c r="CBT17" s="279"/>
      <c r="CBU17" s="279"/>
      <c r="CBV17" s="279"/>
      <c r="CBW17" s="279"/>
      <c r="CBX17" s="279"/>
      <c r="CBY17" s="279"/>
      <c r="CBZ17" s="279"/>
      <c r="CCA17" s="279"/>
      <c r="CCB17" s="279"/>
      <c r="CCC17" s="279"/>
      <c r="CCD17" s="279"/>
      <c r="CCE17" s="279"/>
      <c r="CCF17" s="279"/>
      <c r="CCG17" s="279"/>
      <c r="CCH17" s="279"/>
      <c r="CCI17" s="279"/>
      <c r="CCJ17" s="279"/>
      <c r="CCK17" s="279"/>
      <c r="CCL17" s="279"/>
      <c r="CCM17" s="279"/>
      <c r="CCN17" s="279"/>
      <c r="CCO17" s="279"/>
      <c r="CCP17" s="279"/>
      <c r="CCQ17" s="279"/>
      <c r="CCR17" s="279"/>
      <c r="CCS17" s="279"/>
      <c r="CCT17" s="279"/>
      <c r="CCU17" s="279"/>
      <c r="CCV17" s="279"/>
      <c r="CCW17" s="279"/>
      <c r="CCX17" s="279"/>
      <c r="CCY17" s="279"/>
      <c r="CCZ17" s="279"/>
      <c r="CDA17" s="279"/>
      <c r="CDB17" s="279"/>
      <c r="CDC17" s="279"/>
      <c r="CDD17" s="279"/>
      <c r="CDE17" s="279"/>
      <c r="CDF17" s="279"/>
      <c r="CDG17" s="279"/>
      <c r="CDH17" s="279"/>
      <c r="CDI17" s="279"/>
      <c r="CDJ17" s="279"/>
      <c r="CDK17" s="279"/>
      <c r="CDL17" s="279"/>
      <c r="CDM17" s="279"/>
      <c r="CDN17" s="279"/>
      <c r="CDO17" s="279"/>
      <c r="CDP17" s="279"/>
      <c r="CDQ17" s="279"/>
      <c r="CDR17" s="279"/>
      <c r="CDS17" s="279"/>
      <c r="CDT17" s="279"/>
      <c r="CDU17" s="279"/>
      <c r="CDV17" s="279"/>
      <c r="CDW17" s="279"/>
      <c r="CDX17" s="279"/>
      <c r="CDY17" s="279"/>
      <c r="CDZ17" s="279"/>
      <c r="CEA17" s="279"/>
      <c r="CEB17" s="279"/>
      <c r="CEC17" s="279"/>
      <c r="CED17" s="279"/>
      <c r="CEE17" s="279"/>
      <c r="CEF17" s="279"/>
      <c r="CEG17" s="279"/>
      <c r="CEH17" s="279"/>
      <c r="CEI17" s="279"/>
      <c r="CEJ17" s="279"/>
      <c r="CEK17" s="279"/>
      <c r="CEL17" s="279"/>
      <c r="CEM17" s="279"/>
      <c r="CEN17" s="279"/>
      <c r="CEO17" s="279"/>
      <c r="CEP17" s="279"/>
      <c r="CEQ17" s="279"/>
      <c r="CER17" s="279"/>
      <c r="CES17" s="279"/>
      <c r="CET17" s="279"/>
      <c r="CEU17" s="279"/>
      <c r="CEV17" s="279"/>
      <c r="CEW17" s="279"/>
      <c r="CEX17" s="279"/>
      <c r="CEY17" s="279"/>
      <c r="CEZ17" s="279"/>
      <c r="CFA17" s="279"/>
      <c r="CFB17" s="279"/>
      <c r="CFC17" s="279"/>
      <c r="CFD17" s="279"/>
      <c r="CFE17" s="279"/>
      <c r="CFF17" s="279"/>
      <c r="CFG17" s="279"/>
      <c r="CFH17" s="279"/>
      <c r="CFI17" s="279"/>
      <c r="CFJ17" s="279"/>
      <c r="CFK17" s="279"/>
      <c r="CFL17" s="279"/>
      <c r="CFM17" s="279"/>
      <c r="CFN17" s="279"/>
      <c r="CFO17" s="279"/>
      <c r="CFP17" s="279"/>
      <c r="CFQ17" s="279"/>
      <c r="CFR17" s="279"/>
      <c r="CFS17" s="279"/>
      <c r="CFT17" s="279"/>
      <c r="CFU17" s="279"/>
      <c r="CFV17" s="279"/>
      <c r="CFW17" s="279"/>
      <c r="CFX17" s="279"/>
      <c r="CFY17" s="279"/>
      <c r="CFZ17" s="279"/>
      <c r="CGA17" s="279"/>
      <c r="CGB17" s="279"/>
      <c r="CGC17" s="279"/>
      <c r="CGD17" s="279"/>
      <c r="CGE17" s="279"/>
      <c r="CGF17" s="279"/>
      <c r="CGG17" s="279"/>
      <c r="CGH17" s="279"/>
      <c r="CGI17" s="279"/>
      <c r="CGJ17" s="279"/>
      <c r="CGK17" s="279"/>
      <c r="CGL17" s="279"/>
      <c r="CGM17" s="279"/>
      <c r="CGN17" s="279"/>
      <c r="CGO17" s="279"/>
      <c r="CGP17" s="279"/>
      <c r="CGQ17" s="279"/>
      <c r="CGR17" s="279"/>
      <c r="CGS17" s="279"/>
      <c r="CGT17" s="279"/>
      <c r="CGU17" s="279"/>
      <c r="CGV17" s="279"/>
      <c r="CGW17" s="279"/>
      <c r="CGX17" s="279"/>
      <c r="CGY17" s="279"/>
      <c r="CGZ17" s="279"/>
      <c r="CHA17" s="279"/>
      <c r="CHB17" s="279"/>
      <c r="CHC17" s="279"/>
      <c r="CHD17" s="279"/>
      <c r="CHE17" s="279"/>
      <c r="CHF17" s="279"/>
      <c r="CHG17" s="279"/>
      <c r="CHH17" s="279"/>
      <c r="CHI17" s="279"/>
      <c r="CHJ17" s="279"/>
      <c r="CHK17" s="279"/>
      <c r="CHL17" s="279"/>
      <c r="CHM17" s="279"/>
      <c r="CHN17" s="279"/>
      <c r="CHO17" s="279"/>
      <c r="CHP17" s="279"/>
      <c r="CHQ17" s="279"/>
      <c r="CHR17" s="279"/>
      <c r="CHS17" s="279"/>
      <c r="CHT17" s="279"/>
      <c r="CHU17" s="279"/>
      <c r="CHV17" s="279"/>
      <c r="CHW17" s="279"/>
      <c r="CHX17" s="279"/>
      <c r="CHY17" s="279"/>
      <c r="CHZ17" s="279"/>
      <c r="CIA17" s="279"/>
      <c r="CIB17" s="279"/>
      <c r="CIC17" s="279"/>
      <c r="CID17" s="279"/>
      <c r="CIE17" s="279"/>
      <c r="CIF17" s="279"/>
      <c r="CIG17" s="279"/>
      <c r="CIH17" s="279"/>
      <c r="CII17" s="279"/>
      <c r="CIJ17" s="279"/>
      <c r="CIK17" s="279"/>
      <c r="CIL17" s="279"/>
      <c r="CIM17" s="279"/>
      <c r="CIN17" s="279"/>
      <c r="CIO17" s="279"/>
      <c r="CIP17" s="279"/>
      <c r="CIQ17" s="279"/>
      <c r="CIR17" s="279"/>
      <c r="CIS17" s="279"/>
      <c r="CIT17" s="279"/>
      <c r="CIU17" s="279"/>
      <c r="CIV17" s="279"/>
      <c r="CIW17" s="279"/>
      <c r="CIX17" s="279"/>
      <c r="CIY17" s="279"/>
      <c r="CIZ17" s="279"/>
      <c r="CJA17" s="279"/>
      <c r="CJB17" s="279"/>
      <c r="CJC17" s="279"/>
      <c r="CJD17" s="279"/>
      <c r="CJE17" s="279"/>
      <c r="CJF17" s="279"/>
      <c r="CJG17" s="279"/>
      <c r="CJH17" s="279"/>
      <c r="CJI17" s="279"/>
      <c r="CJJ17" s="279"/>
      <c r="CJK17" s="279"/>
      <c r="CJL17" s="279"/>
      <c r="CJM17" s="279"/>
      <c r="CJN17" s="279"/>
      <c r="CJO17" s="279"/>
      <c r="CJP17" s="279"/>
      <c r="CJQ17" s="279"/>
      <c r="CJR17" s="279"/>
      <c r="CJS17" s="279"/>
      <c r="CJT17" s="279"/>
      <c r="CJU17" s="279"/>
      <c r="CJV17" s="279"/>
      <c r="CJW17" s="279"/>
      <c r="CJX17" s="279"/>
      <c r="CJY17" s="279"/>
      <c r="CJZ17" s="279"/>
      <c r="CKA17" s="279"/>
      <c r="CKB17" s="279"/>
      <c r="CKC17" s="279"/>
      <c r="CKD17" s="279"/>
      <c r="CKE17" s="279"/>
      <c r="CKF17" s="279"/>
      <c r="CKG17" s="279"/>
      <c r="CKH17" s="279"/>
      <c r="CKI17" s="279"/>
      <c r="CKJ17" s="279"/>
      <c r="CKK17" s="279"/>
      <c r="CKL17" s="279"/>
      <c r="CKM17" s="279"/>
      <c r="CKN17" s="279"/>
      <c r="CKO17" s="279"/>
      <c r="CKP17" s="279"/>
      <c r="CKQ17" s="279"/>
      <c r="CKR17" s="279"/>
      <c r="CKS17" s="279"/>
      <c r="CKT17" s="279"/>
      <c r="CKU17" s="279"/>
      <c r="CKV17" s="279"/>
      <c r="CKW17" s="279"/>
      <c r="CKX17" s="279"/>
      <c r="CKY17" s="279"/>
      <c r="CKZ17" s="279"/>
      <c r="CLA17" s="279"/>
      <c r="CLB17" s="279"/>
      <c r="CLC17" s="279"/>
      <c r="CLD17" s="279"/>
      <c r="CLE17" s="279"/>
      <c r="CLF17" s="279"/>
      <c r="CLG17" s="279"/>
      <c r="CLH17" s="279"/>
      <c r="CLI17" s="279"/>
      <c r="CLJ17" s="279"/>
      <c r="CLK17" s="279"/>
      <c r="CLL17" s="279"/>
      <c r="CLM17" s="279"/>
      <c r="CLN17" s="279"/>
      <c r="CLO17" s="279"/>
      <c r="CLP17" s="279"/>
      <c r="CLQ17" s="279"/>
      <c r="CLR17" s="279"/>
      <c r="CLS17" s="279"/>
      <c r="CLT17" s="279"/>
      <c r="CLU17" s="279"/>
      <c r="CLV17" s="279"/>
      <c r="CLW17" s="279"/>
      <c r="CLX17" s="279"/>
      <c r="CLY17" s="279"/>
      <c r="CLZ17" s="279"/>
      <c r="CMA17" s="279"/>
      <c r="CMB17" s="279"/>
      <c r="CMC17" s="279"/>
      <c r="CMD17" s="279"/>
      <c r="CME17" s="279"/>
      <c r="CMF17" s="279"/>
      <c r="CMG17" s="279"/>
      <c r="CMH17" s="279"/>
      <c r="CMI17" s="279"/>
      <c r="CMJ17" s="279"/>
      <c r="CMK17" s="279"/>
      <c r="CML17" s="279"/>
      <c r="CMM17" s="279"/>
      <c r="CMN17" s="279"/>
      <c r="CMO17" s="279"/>
      <c r="CMP17" s="279"/>
      <c r="CMQ17" s="279"/>
      <c r="CMR17" s="279"/>
      <c r="CMS17" s="279"/>
      <c r="CMT17" s="279"/>
      <c r="CMU17" s="279"/>
      <c r="CMV17" s="279"/>
      <c r="CMW17" s="279"/>
      <c r="CMX17" s="279"/>
      <c r="CMY17" s="279"/>
      <c r="CMZ17" s="279"/>
      <c r="CNA17" s="279"/>
      <c r="CNB17" s="279"/>
      <c r="CNC17" s="279"/>
      <c r="CND17" s="279"/>
      <c r="CNE17" s="279"/>
      <c r="CNF17" s="279"/>
      <c r="CNG17" s="279"/>
      <c r="CNH17" s="279"/>
      <c r="CNI17" s="279"/>
      <c r="CNJ17" s="279"/>
      <c r="CNK17" s="279"/>
      <c r="CNL17" s="279"/>
      <c r="CNM17" s="279"/>
      <c r="CNN17" s="279"/>
      <c r="CNO17" s="279"/>
      <c r="CNP17" s="279"/>
      <c r="CNQ17" s="279"/>
      <c r="CNR17" s="279"/>
      <c r="CNS17" s="279"/>
      <c r="CNT17" s="279"/>
      <c r="CNU17" s="279"/>
      <c r="CNV17" s="279"/>
      <c r="CNW17" s="279"/>
      <c r="CNX17" s="279"/>
      <c r="CNY17" s="279"/>
      <c r="CNZ17" s="279"/>
      <c r="COA17" s="279"/>
      <c r="COB17" s="279"/>
      <c r="COC17" s="279"/>
      <c r="COD17" s="279"/>
      <c r="COE17" s="279"/>
      <c r="COF17" s="279"/>
      <c r="COG17" s="279"/>
      <c r="COH17" s="279"/>
      <c r="COI17" s="279"/>
      <c r="COJ17" s="279"/>
      <c r="COK17" s="279"/>
      <c r="COL17" s="279"/>
      <c r="COM17" s="279"/>
      <c r="CON17" s="279"/>
      <c r="COO17" s="279"/>
      <c r="COP17" s="279"/>
      <c r="COQ17" s="279"/>
      <c r="COR17" s="279"/>
      <c r="COS17" s="279"/>
      <c r="COT17" s="279"/>
      <c r="COU17" s="279"/>
      <c r="COV17" s="279"/>
      <c r="COW17" s="279"/>
      <c r="COX17" s="279"/>
      <c r="COY17" s="279"/>
      <c r="COZ17" s="279"/>
      <c r="CPA17" s="279"/>
      <c r="CPB17" s="279"/>
      <c r="CPC17" s="279"/>
      <c r="CPD17" s="279"/>
      <c r="CPE17" s="279"/>
      <c r="CPF17" s="279"/>
      <c r="CPG17" s="279"/>
      <c r="CPH17" s="279"/>
      <c r="CPI17" s="279"/>
      <c r="CPJ17" s="279"/>
      <c r="CPK17" s="279"/>
      <c r="CPL17" s="279"/>
      <c r="CPM17" s="279"/>
      <c r="CPN17" s="279"/>
      <c r="CPO17" s="279"/>
      <c r="CPP17" s="279"/>
      <c r="CPQ17" s="279"/>
      <c r="CPR17" s="279"/>
      <c r="CPS17" s="279"/>
      <c r="CPT17" s="279"/>
      <c r="CPU17" s="279"/>
      <c r="CPV17" s="279"/>
      <c r="CPW17" s="279"/>
      <c r="CPX17" s="279"/>
      <c r="CPY17" s="279"/>
      <c r="CPZ17" s="279"/>
      <c r="CQA17" s="279"/>
      <c r="CQB17" s="279"/>
      <c r="CQC17" s="279"/>
      <c r="CQD17" s="279"/>
      <c r="CQE17" s="279"/>
      <c r="CQF17" s="279"/>
      <c r="CQG17" s="279"/>
      <c r="CQH17" s="279"/>
      <c r="CQI17" s="279"/>
      <c r="CQJ17" s="279"/>
      <c r="CQK17" s="279"/>
      <c r="CQL17" s="279"/>
      <c r="CQM17" s="279"/>
      <c r="CQN17" s="279"/>
      <c r="CQO17" s="279"/>
      <c r="CQP17" s="279"/>
      <c r="CQQ17" s="279"/>
      <c r="CQR17" s="279"/>
      <c r="CQS17" s="279"/>
      <c r="CQT17" s="279"/>
      <c r="CQU17" s="279"/>
      <c r="CQV17" s="279"/>
      <c r="CQW17" s="279"/>
      <c r="CQX17" s="279"/>
      <c r="CQY17" s="279"/>
      <c r="CQZ17" s="279"/>
      <c r="CRA17" s="279"/>
      <c r="CRB17" s="279"/>
      <c r="CRC17" s="279"/>
      <c r="CRD17" s="279"/>
      <c r="CRE17" s="279"/>
      <c r="CRF17" s="279"/>
      <c r="CRG17" s="279"/>
      <c r="CRH17" s="279"/>
      <c r="CRI17" s="279"/>
      <c r="CRJ17" s="279"/>
      <c r="CRK17" s="279"/>
      <c r="CRL17" s="279"/>
      <c r="CRM17" s="279"/>
      <c r="CRN17" s="279"/>
      <c r="CRO17" s="279"/>
      <c r="CRP17" s="279"/>
      <c r="CRQ17" s="279"/>
      <c r="CRR17" s="279"/>
      <c r="CRS17" s="279"/>
      <c r="CRT17" s="279"/>
      <c r="CRU17" s="279"/>
      <c r="CRV17" s="279"/>
      <c r="CRW17" s="279"/>
      <c r="CRX17" s="279"/>
      <c r="CRY17" s="279"/>
      <c r="CRZ17" s="279"/>
      <c r="CSA17" s="279"/>
      <c r="CSB17" s="279"/>
      <c r="CSC17" s="279"/>
      <c r="CSD17" s="279"/>
      <c r="CSE17" s="279"/>
      <c r="CSF17" s="279"/>
      <c r="CSG17" s="279"/>
      <c r="CSH17" s="279"/>
      <c r="CSI17" s="279"/>
      <c r="CSJ17" s="279"/>
      <c r="CSK17" s="279"/>
      <c r="CSL17" s="279"/>
      <c r="CSM17" s="279"/>
      <c r="CSN17" s="279"/>
      <c r="CSO17" s="279"/>
      <c r="CSP17" s="279"/>
      <c r="CSQ17" s="279"/>
      <c r="CSR17" s="279"/>
      <c r="CSS17" s="279"/>
      <c r="CST17" s="279"/>
      <c r="CSU17" s="279"/>
      <c r="CSV17" s="279"/>
      <c r="CSW17" s="279"/>
      <c r="CSX17" s="279"/>
      <c r="CSY17" s="279"/>
      <c r="CSZ17" s="279"/>
      <c r="CTA17" s="279"/>
      <c r="CTB17" s="279"/>
      <c r="CTC17" s="279"/>
      <c r="CTD17" s="279"/>
      <c r="CTE17" s="279"/>
      <c r="CTF17" s="279"/>
      <c r="CTG17" s="279"/>
      <c r="CTH17" s="279"/>
      <c r="CTI17" s="279"/>
      <c r="CTJ17" s="279"/>
      <c r="CTK17" s="279"/>
      <c r="CTL17" s="279"/>
      <c r="CTM17" s="279"/>
      <c r="CTN17" s="279"/>
      <c r="CTO17" s="279"/>
      <c r="CTP17" s="279"/>
      <c r="CTQ17" s="279"/>
      <c r="CTR17" s="279"/>
      <c r="CTS17" s="279"/>
      <c r="CTT17" s="279"/>
      <c r="CTU17" s="279"/>
      <c r="CTV17" s="279"/>
      <c r="CTW17" s="279"/>
      <c r="CTX17" s="279"/>
      <c r="CTY17" s="279"/>
      <c r="CTZ17" s="279"/>
      <c r="CUA17" s="279"/>
      <c r="CUB17" s="279"/>
      <c r="CUC17" s="279"/>
      <c r="CUD17" s="279"/>
      <c r="CUE17" s="279"/>
      <c r="CUF17" s="279"/>
      <c r="CUG17" s="279"/>
      <c r="CUH17" s="279"/>
      <c r="CUI17" s="279"/>
      <c r="CUJ17" s="279"/>
      <c r="CUK17" s="279"/>
      <c r="CUL17" s="279"/>
      <c r="CUM17" s="279"/>
      <c r="CUN17" s="279"/>
      <c r="CUO17" s="279"/>
      <c r="CUP17" s="279"/>
      <c r="CUQ17" s="279"/>
      <c r="CUR17" s="279"/>
      <c r="CUS17" s="279"/>
      <c r="CUT17" s="279"/>
      <c r="CUU17" s="279"/>
      <c r="CUV17" s="279"/>
      <c r="CUW17" s="279"/>
      <c r="CUX17" s="279"/>
      <c r="CUY17" s="279"/>
      <c r="CUZ17" s="279"/>
      <c r="CVA17" s="279"/>
      <c r="CVB17" s="279"/>
      <c r="CVC17" s="279"/>
      <c r="CVD17" s="279"/>
      <c r="CVE17" s="279"/>
      <c r="CVF17" s="279"/>
      <c r="CVG17" s="279"/>
      <c r="CVH17" s="279"/>
      <c r="CVI17" s="279"/>
      <c r="CVJ17" s="279"/>
      <c r="CVK17" s="279"/>
      <c r="CVL17" s="279"/>
      <c r="CVM17" s="279"/>
      <c r="CVN17" s="279"/>
      <c r="CVO17" s="279"/>
      <c r="CVP17" s="279"/>
      <c r="CVQ17" s="279"/>
      <c r="CVR17" s="279"/>
      <c r="CVS17" s="279"/>
      <c r="CVT17" s="279"/>
      <c r="CVU17" s="279"/>
      <c r="CVV17" s="279"/>
      <c r="CVW17" s="279"/>
      <c r="CVX17" s="279"/>
      <c r="CVY17" s="279"/>
      <c r="CVZ17" s="279"/>
      <c r="CWA17" s="279"/>
      <c r="CWB17" s="279"/>
      <c r="CWC17" s="279"/>
      <c r="CWD17" s="279"/>
      <c r="CWE17" s="279"/>
      <c r="CWF17" s="279"/>
      <c r="CWG17" s="279"/>
      <c r="CWH17" s="279"/>
      <c r="CWI17" s="279"/>
      <c r="CWJ17" s="279"/>
      <c r="CWK17" s="279"/>
      <c r="CWL17" s="279"/>
      <c r="CWM17" s="279"/>
      <c r="CWN17" s="279"/>
      <c r="CWO17" s="279"/>
      <c r="CWP17" s="279"/>
      <c r="CWQ17" s="279"/>
      <c r="CWR17" s="279"/>
      <c r="CWS17" s="279"/>
      <c r="CWT17" s="279"/>
      <c r="CWU17" s="279"/>
      <c r="CWV17" s="279"/>
      <c r="CWW17" s="279"/>
      <c r="CWX17" s="279"/>
      <c r="CWY17" s="279"/>
      <c r="CWZ17" s="279"/>
      <c r="CXA17" s="279"/>
      <c r="CXB17" s="279"/>
      <c r="CXC17" s="279"/>
      <c r="CXD17" s="279"/>
      <c r="CXE17" s="279"/>
      <c r="CXF17" s="279"/>
      <c r="CXG17" s="279"/>
      <c r="CXH17" s="279"/>
      <c r="CXI17" s="279"/>
      <c r="CXJ17" s="279"/>
      <c r="CXK17" s="279"/>
      <c r="CXL17" s="279"/>
      <c r="CXM17" s="279"/>
      <c r="CXN17" s="279"/>
      <c r="CXO17" s="279"/>
      <c r="CXP17" s="279"/>
      <c r="CXQ17" s="279"/>
      <c r="CXR17" s="279"/>
      <c r="CXS17" s="279"/>
      <c r="CXT17" s="279"/>
      <c r="CXU17" s="279"/>
      <c r="CXV17" s="279"/>
      <c r="CXW17" s="279"/>
      <c r="CXX17" s="279"/>
      <c r="CXY17" s="279"/>
      <c r="CXZ17" s="279"/>
      <c r="CYA17" s="279"/>
      <c r="CYB17" s="279"/>
      <c r="CYC17" s="279"/>
      <c r="CYD17" s="279"/>
      <c r="CYE17" s="279"/>
      <c r="CYF17" s="279"/>
      <c r="CYG17" s="279"/>
      <c r="CYH17" s="279"/>
      <c r="CYI17" s="279"/>
      <c r="CYJ17" s="279"/>
      <c r="CYK17" s="279"/>
      <c r="CYL17" s="279"/>
      <c r="CYM17" s="279"/>
      <c r="CYN17" s="279"/>
      <c r="CYO17" s="279"/>
      <c r="CYP17" s="279"/>
      <c r="CYQ17" s="279"/>
      <c r="CYR17" s="279"/>
      <c r="CYS17" s="279"/>
      <c r="CYT17" s="279"/>
      <c r="CYU17" s="279"/>
      <c r="CYV17" s="279"/>
      <c r="CYW17" s="279"/>
      <c r="CYX17" s="279"/>
      <c r="CYY17" s="279"/>
      <c r="CYZ17" s="279"/>
      <c r="CZA17" s="279"/>
      <c r="CZB17" s="279"/>
      <c r="CZC17" s="279"/>
      <c r="CZD17" s="279"/>
      <c r="CZE17" s="279"/>
      <c r="CZF17" s="279"/>
      <c r="CZG17" s="279"/>
      <c r="CZH17" s="279"/>
      <c r="CZI17" s="279"/>
      <c r="CZJ17" s="279"/>
      <c r="CZK17" s="279"/>
      <c r="CZL17" s="279"/>
      <c r="CZM17" s="279"/>
      <c r="CZN17" s="279"/>
      <c r="CZO17" s="279"/>
      <c r="CZP17" s="279"/>
      <c r="CZQ17" s="279"/>
      <c r="CZR17" s="279"/>
      <c r="CZS17" s="279"/>
      <c r="CZT17" s="279"/>
      <c r="CZU17" s="279"/>
      <c r="CZV17" s="279"/>
      <c r="CZW17" s="279"/>
      <c r="CZX17" s="279"/>
      <c r="CZY17" s="279"/>
      <c r="CZZ17" s="279"/>
      <c r="DAA17" s="279"/>
      <c r="DAB17" s="279"/>
      <c r="DAC17" s="279"/>
      <c r="DAD17" s="279"/>
      <c r="DAE17" s="279"/>
      <c r="DAF17" s="279"/>
      <c r="DAG17" s="279"/>
      <c r="DAH17" s="279"/>
      <c r="DAI17" s="279"/>
      <c r="DAJ17" s="279"/>
      <c r="DAK17" s="279"/>
      <c r="DAL17" s="279"/>
      <c r="DAM17" s="279"/>
      <c r="DAN17" s="279"/>
      <c r="DAO17" s="279"/>
      <c r="DAP17" s="279"/>
      <c r="DAQ17" s="279"/>
      <c r="DAR17" s="279"/>
      <c r="DAS17" s="279"/>
      <c r="DAT17" s="279"/>
      <c r="DAU17" s="279"/>
      <c r="DAV17" s="279"/>
      <c r="DAW17" s="279"/>
      <c r="DAX17" s="279"/>
      <c r="DAY17" s="279"/>
      <c r="DAZ17" s="279"/>
      <c r="DBA17" s="279"/>
      <c r="DBB17" s="279"/>
      <c r="DBC17" s="279"/>
      <c r="DBD17" s="279"/>
      <c r="DBE17" s="279"/>
      <c r="DBF17" s="279"/>
      <c r="DBG17" s="279"/>
      <c r="DBH17" s="279"/>
      <c r="DBI17" s="279"/>
      <c r="DBJ17" s="279"/>
      <c r="DBK17" s="279"/>
      <c r="DBL17" s="279"/>
      <c r="DBM17" s="279"/>
      <c r="DBN17" s="279"/>
      <c r="DBO17" s="279"/>
      <c r="DBP17" s="279"/>
      <c r="DBQ17" s="279"/>
      <c r="DBR17" s="279"/>
      <c r="DBS17" s="279"/>
      <c r="DBT17" s="279"/>
      <c r="DBU17" s="279"/>
      <c r="DBV17" s="279"/>
      <c r="DBW17" s="279"/>
      <c r="DBX17" s="279"/>
      <c r="DBY17" s="279"/>
      <c r="DBZ17" s="279"/>
      <c r="DCA17" s="279"/>
      <c r="DCB17" s="279"/>
      <c r="DCC17" s="279"/>
      <c r="DCD17" s="279"/>
      <c r="DCE17" s="279"/>
      <c r="DCF17" s="279"/>
      <c r="DCG17" s="279"/>
      <c r="DCH17" s="279"/>
      <c r="DCI17" s="279"/>
      <c r="DCJ17" s="279"/>
      <c r="DCK17" s="279"/>
      <c r="DCL17" s="279"/>
      <c r="DCM17" s="279"/>
      <c r="DCN17" s="279"/>
      <c r="DCO17" s="279"/>
      <c r="DCP17" s="279"/>
      <c r="DCQ17" s="279"/>
      <c r="DCR17" s="279"/>
      <c r="DCS17" s="279"/>
      <c r="DCT17" s="279"/>
      <c r="DCU17" s="279"/>
      <c r="DCV17" s="279"/>
      <c r="DCW17" s="279"/>
      <c r="DCX17" s="279"/>
      <c r="DCY17" s="279"/>
      <c r="DCZ17" s="279"/>
      <c r="DDA17" s="279"/>
      <c r="DDB17" s="279"/>
      <c r="DDC17" s="279"/>
      <c r="DDD17" s="279"/>
      <c r="DDE17" s="279"/>
      <c r="DDF17" s="279"/>
      <c r="DDG17" s="279"/>
      <c r="DDH17" s="279"/>
      <c r="DDI17" s="279"/>
      <c r="DDJ17" s="279"/>
      <c r="DDK17" s="279"/>
      <c r="DDL17" s="279"/>
      <c r="DDM17" s="279"/>
      <c r="DDN17" s="279"/>
      <c r="DDO17" s="279"/>
      <c r="DDP17" s="279"/>
      <c r="DDQ17" s="279"/>
      <c r="DDR17" s="279"/>
      <c r="DDS17" s="279"/>
      <c r="DDT17" s="279"/>
      <c r="DDU17" s="279"/>
      <c r="DDV17" s="279"/>
      <c r="DDW17" s="279"/>
      <c r="DDX17" s="279"/>
      <c r="DDY17" s="279"/>
      <c r="DDZ17" s="279"/>
      <c r="DEA17" s="279"/>
      <c r="DEB17" s="279"/>
      <c r="DEC17" s="279"/>
      <c r="DED17" s="279"/>
      <c r="DEE17" s="279"/>
      <c r="DEF17" s="279"/>
      <c r="DEG17" s="279"/>
      <c r="DEH17" s="279"/>
      <c r="DEI17" s="279"/>
      <c r="DEJ17" s="279"/>
      <c r="DEK17" s="279"/>
      <c r="DEL17" s="279"/>
      <c r="DEM17" s="279"/>
      <c r="DEN17" s="279"/>
      <c r="DEO17" s="279"/>
      <c r="DEP17" s="279"/>
      <c r="DEQ17" s="279"/>
      <c r="DER17" s="279"/>
      <c r="DES17" s="279"/>
      <c r="DET17" s="279"/>
      <c r="DEU17" s="279"/>
      <c r="DEV17" s="279"/>
      <c r="DEW17" s="279"/>
      <c r="DEX17" s="279"/>
      <c r="DEY17" s="279"/>
      <c r="DEZ17" s="279"/>
      <c r="DFA17" s="279"/>
      <c r="DFB17" s="279"/>
      <c r="DFC17" s="279"/>
      <c r="DFD17" s="279"/>
      <c r="DFE17" s="279"/>
      <c r="DFF17" s="279"/>
      <c r="DFG17" s="279"/>
      <c r="DFH17" s="279"/>
      <c r="DFI17" s="279"/>
      <c r="DFJ17" s="279"/>
      <c r="DFK17" s="279"/>
      <c r="DFL17" s="279"/>
      <c r="DFM17" s="279"/>
      <c r="DFN17" s="279"/>
      <c r="DFO17" s="279"/>
      <c r="DFP17" s="279"/>
      <c r="DFQ17" s="279"/>
      <c r="DFR17" s="279"/>
      <c r="DFS17" s="279"/>
      <c r="DFT17" s="279"/>
      <c r="DFU17" s="279"/>
      <c r="DFV17" s="279"/>
      <c r="DFW17" s="279"/>
      <c r="DFX17" s="279"/>
      <c r="DFY17" s="279"/>
      <c r="DFZ17" s="279"/>
      <c r="DGA17" s="279"/>
      <c r="DGB17" s="279"/>
      <c r="DGC17" s="279"/>
      <c r="DGD17" s="279"/>
      <c r="DGE17" s="279"/>
      <c r="DGF17" s="279"/>
      <c r="DGG17" s="279"/>
      <c r="DGH17" s="279"/>
      <c r="DGI17" s="279"/>
      <c r="DGJ17" s="279"/>
      <c r="DGK17" s="279"/>
      <c r="DGL17" s="279"/>
      <c r="DGM17" s="279"/>
      <c r="DGN17" s="279"/>
      <c r="DGO17" s="279"/>
      <c r="DGP17" s="279"/>
      <c r="DGQ17" s="279"/>
      <c r="DGR17" s="279"/>
      <c r="DGS17" s="279"/>
      <c r="DGT17" s="279"/>
      <c r="DGU17" s="279"/>
      <c r="DGV17" s="279"/>
      <c r="DGW17" s="279"/>
      <c r="DGX17" s="279"/>
      <c r="DGY17" s="279"/>
      <c r="DGZ17" s="279"/>
      <c r="DHA17" s="279"/>
      <c r="DHB17" s="279"/>
      <c r="DHC17" s="279"/>
      <c r="DHD17" s="279"/>
      <c r="DHE17" s="279"/>
      <c r="DHF17" s="279"/>
      <c r="DHG17" s="279"/>
      <c r="DHH17" s="279"/>
      <c r="DHI17" s="279"/>
      <c r="DHJ17" s="279"/>
      <c r="DHK17" s="279"/>
      <c r="DHL17" s="279"/>
      <c r="DHM17" s="279"/>
      <c r="DHN17" s="279"/>
      <c r="DHO17" s="279"/>
      <c r="DHP17" s="279"/>
      <c r="DHQ17" s="279"/>
      <c r="DHR17" s="279"/>
      <c r="DHS17" s="279"/>
      <c r="DHT17" s="279"/>
      <c r="DHU17" s="279"/>
      <c r="DHV17" s="279"/>
      <c r="DHW17" s="279"/>
      <c r="DHX17" s="279"/>
      <c r="DHY17" s="279"/>
      <c r="DHZ17" s="279"/>
      <c r="DIA17" s="279"/>
      <c r="DIB17" s="279"/>
      <c r="DIC17" s="279"/>
      <c r="DID17" s="279"/>
      <c r="DIE17" s="279"/>
      <c r="DIF17" s="279"/>
      <c r="DIG17" s="279"/>
      <c r="DIH17" s="279"/>
      <c r="DII17" s="279"/>
      <c r="DIJ17" s="279"/>
      <c r="DIK17" s="279"/>
      <c r="DIL17" s="279"/>
      <c r="DIM17" s="279"/>
      <c r="DIN17" s="279"/>
      <c r="DIO17" s="279"/>
      <c r="DIP17" s="279"/>
      <c r="DIQ17" s="279"/>
      <c r="DIR17" s="279"/>
      <c r="DIS17" s="279"/>
      <c r="DIT17" s="279"/>
      <c r="DIU17" s="279"/>
      <c r="DIV17" s="279"/>
      <c r="DIW17" s="279"/>
      <c r="DIX17" s="279"/>
      <c r="DIY17" s="279"/>
      <c r="DIZ17" s="279"/>
      <c r="DJA17" s="279"/>
      <c r="DJB17" s="279"/>
      <c r="DJC17" s="279"/>
      <c r="DJD17" s="279"/>
      <c r="DJE17" s="279"/>
      <c r="DJF17" s="279"/>
      <c r="DJG17" s="279"/>
      <c r="DJH17" s="279"/>
      <c r="DJI17" s="279"/>
      <c r="DJJ17" s="279"/>
      <c r="DJK17" s="279"/>
      <c r="DJL17" s="279"/>
      <c r="DJM17" s="279"/>
      <c r="DJN17" s="279"/>
      <c r="DJO17" s="279"/>
      <c r="DJP17" s="279"/>
      <c r="DJQ17" s="279"/>
      <c r="DJR17" s="279"/>
      <c r="DJS17" s="279"/>
      <c r="DJT17" s="279"/>
      <c r="DJU17" s="279"/>
      <c r="DJV17" s="279"/>
      <c r="DJW17" s="279"/>
      <c r="DJX17" s="279"/>
      <c r="DJY17" s="279"/>
      <c r="DJZ17" s="279"/>
      <c r="DKA17" s="279"/>
      <c r="DKB17" s="279"/>
      <c r="DKC17" s="279"/>
      <c r="DKD17" s="279"/>
      <c r="DKE17" s="279"/>
      <c r="DKF17" s="279"/>
      <c r="DKG17" s="279"/>
      <c r="DKH17" s="279"/>
      <c r="DKI17" s="279"/>
      <c r="DKJ17" s="279"/>
      <c r="DKK17" s="279"/>
      <c r="DKL17" s="279"/>
      <c r="DKM17" s="279"/>
      <c r="DKN17" s="279"/>
      <c r="DKO17" s="279"/>
      <c r="DKP17" s="279"/>
      <c r="DKQ17" s="279"/>
      <c r="DKR17" s="279"/>
      <c r="DKS17" s="279"/>
      <c r="DKT17" s="279"/>
      <c r="DKU17" s="279"/>
      <c r="DKV17" s="279"/>
      <c r="DKW17" s="279"/>
      <c r="DKX17" s="279"/>
      <c r="DKY17" s="279"/>
      <c r="DKZ17" s="279"/>
      <c r="DLA17" s="279"/>
      <c r="DLB17" s="279"/>
      <c r="DLC17" s="279"/>
      <c r="DLD17" s="279"/>
      <c r="DLE17" s="279"/>
      <c r="DLF17" s="279"/>
      <c r="DLG17" s="279"/>
      <c r="DLH17" s="279"/>
      <c r="DLI17" s="279"/>
      <c r="DLJ17" s="279"/>
      <c r="DLK17" s="279"/>
      <c r="DLL17" s="279"/>
      <c r="DLM17" s="279"/>
      <c r="DLN17" s="279"/>
      <c r="DLO17" s="279"/>
      <c r="DLP17" s="279"/>
      <c r="DLQ17" s="279"/>
      <c r="DLR17" s="279"/>
      <c r="DLS17" s="279"/>
      <c r="DLT17" s="279"/>
      <c r="DLU17" s="279"/>
      <c r="DLV17" s="279"/>
      <c r="DLW17" s="279"/>
      <c r="DLX17" s="279"/>
      <c r="DLY17" s="279"/>
      <c r="DLZ17" s="279"/>
      <c r="DMA17" s="279"/>
      <c r="DMB17" s="279"/>
      <c r="DMC17" s="279"/>
      <c r="DMD17" s="279"/>
      <c r="DME17" s="279"/>
      <c r="DMF17" s="279"/>
      <c r="DMG17" s="279"/>
      <c r="DMH17" s="279"/>
      <c r="DMI17" s="279"/>
      <c r="DMJ17" s="279"/>
      <c r="DMK17" s="279"/>
      <c r="DML17" s="279"/>
      <c r="DMM17" s="279"/>
      <c r="DMN17" s="279"/>
      <c r="DMO17" s="279"/>
      <c r="DMP17" s="279"/>
      <c r="DMQ17" s="279"/>
      <c r="DMR17" s="279"/>
      <c r="DMS17" s="279"/>
      <c r="DMT17" s="279"/>
      <c r="DMU17" s="279"/>
      <c r="DMV17" s="279"/>
      <c r="DMW17" s="279"/>
      <c r="DMX17" s="279"/>
      <c r="DMY17" s="279"/>
      <c r="DMZ17" s="279"/>
      <c r="DNA17" s="279"/>
      <c r="DNB17" s="279"/>
      <c r="DNC17" s="279"/>
      <c r="DND17" s="279"/>
      <c r="DNE17" s="279"/>
      <c r="DNF17" s="279"/>
      <c r="DNG17" s="279"/>
      <c r="DNH17" s="279"/>
      <c r="DNI17" s="279"/>
      <c r="DNJ17" s="279"/>
      <c r="DNK17" s="279"/>
      <c r="DNL17" s="279"/>
      <c r="DNM17" s="279"/>
      <c r="DNN17" s="279"/>
      <c r="DNO17" s="279"/>
      <c r="DNP17" s="279"/>
      <c r="DNQ17" s="279"/>
      <c r="DNR17" s="279"/>
      <c r="DNS17" s="279"/>
      <c r="DNT17" s="279"/>
      <c r="DNU17" s="279"/>
      <c r="DNV17" s="279"/>
      <c r="DNW17" s="279"/>
      <c r="DNX17" s="279"/>
      <c r="DNY17" s="279"/>
      <c r="DNZ17" s="279"/>
      <c r="DOA17" s="279"/>
      <c r="DOB17" s="279"/>
      <c r="DOC17" s="279"/>
      <c r="DOD17" s="279"/>
      <c r="DOE17" s="279"/>
      <c r="DOF17" s="279"/>
      <c r="DOG17" s="279"/>
      <c r="DOH17" s="279"/>
      <c r="DOI17" s="279"/>
      <c r="DOJ17" s="279"/>
      <c r="DOK17" s="279"/>
      <c r="DOL17" s="279"/>
      <c r="DOM17" s="279"/>
      <c r="DON17" s="279"/>
      <c r="DOO17" s="279"/>
      <c r="DOP17" s="279"/>
      <c r="DOQ17" s="279"/>
      <c r="DOR17" s="279"/>
      <c r="DOS17" s="279"/>
      <c r="DOT17" s="279"/>
      <c r="DOU17" s="279"/>
      <c r="DOV17" s="279"/>
      <c r="DOW17" s="279"/>
      <c r="DOX17" s="279"/>
      <c r="DOY17" s="279"/>
      <c r="DOZ17" s="279"/>
      <c r="DPA17" s="279"/>
      <c r="DPB17" s="279"/>
      <c r="DPC17" s="279"/>
      <c r="DPD17" s="279"/>
      <c r="DPE17" s="279"/>
      <c r="DPF17" s="279"/>
      <c r="DPG17" s="279"/>
      <c r="DPH17" s="279"/>
      <c r="DPI17" s="279"/>
      <c r="DPJ17" s="279"/>
      <c r="DPK17" s="279"/>
      <c r="DPL17" s="279"/>
      <c r="DPM17" s="279"/>
      <c r="DPN17" s="279"/>
      <c r="DPO17" s="279"/>
      <c r="DPP17" s="279"/>
      <c r="DPQ17" s="279"/>
      <c r="DPR17" s="279"/>
      <c r="DPS17" s="279"/>
      <c r="DPT17" s="279"/>
      <c r="DPU17" s="279"/>
      <c r="DPV17" s="279"/>
      <c r="DPW17" s="279"/>
      <c r="DPX17" s="279"/>
      <c r="DPY17" s="279"/>
      <c r="DPZ17" s="279"/>
      <c r="DQA17" s="279"/>
      <c r="DQB17" s="279"/>
      <c r="DQC17" s="279"/>
      <c r="DQD17" s="279"/>
      <c r="DQE17" s="279"/>
      <c r="DQF17" s="279"/>
      <c r="DQG17" s="279"/>
      <c r="DQH17" s="279"/>
      <c r="DQI17" s="279"/>
      <c r="DQJ17" s="279"/>
      <c r="DQK17" s="279"/>
      <c r="DQL17" s="279"/>
      <c r="DQM17" s="279"/>
      <c r="DQN17" s="279"/>
      <c r="DQO17" s="279"/>
      <c r="DQP17" s="279"/>
      <c r="DQQ17" s="279"/>
      <c r="DQR17" s="279"/>
      <c r="DQS17" s="279"/>
      <c r="DQT17" s="279"/>
      <c r="DQU17" s="279"/>
      <c r="DQV17" s="279"/>
      <c r="DQW17" s="279"/>
      <c r="DQX17" s="279"/>
      <c r="DQY17" s="279"/>
      <c r="DQZ17" s="279"/>
      <c r="DRA17" s="279"/>
      <c r="DRB17" s="279"/>
      <c r="DRC17" s="279"/>
      <c r="DRD17" s="279"/>
      <c r="DRE17" s="279"/>
      <c r="DRF17" s="279"/>
      <c r="DRG17" s="279"/>
      <c r="DRH17" s="279"/>
      <c r="DRI17" s="279"/>
      <c r="DRJ17" s="279"/>
      <c r="DRK17" s="279"/>
      <c r="DRL17" s="279"/>
      <c r="DRM17" s="279"/>
      <c r="DRN17" s="279"/>
      <c r="DRO17" s="279"/>
      <c r="DRP17" s="279"/>
      <c r="DRQ17" s="279"/>
      <c r="DRR17" s="279"/>
      <c r="DRS17" s="279"/>
      <c r="DRT17" s="279"/>
      <c r="DRU17" s="279"/>
      <c r="DRV17" s="279"/>
      <c r="DRW17" s="279"/>
      <c r="DRX17" s="279"/>
      <c r="DRY17" s="279"/>
      <c r="DRZ17" s="279"/>
      <c r="DSA17" s="279"/>
      <c r="DSB17" s="279"/>
      <c r="DSC17" s="279"/>
      <c r="DSD17" s="279"/>
      <c r="DSE17" s="279"/>
      <c r="DSF17" s="279"/>
      <c r="DSG17" s="279"/>
      <c r="DSH17" s="279"/>
      <c r="DSI17" s="279"/>
      <c r="DSJ17" s="279"/>
      <c r="DSK17" s="279"/>
      <c r="DSL17" s="279"/>
      <c r="DSM17" s="279"/>
      <c r="DSN17" s="279"/>
      <c r="DSO17" s="279"/>
      <c r="DSP17" s="279"/>
      <c r="DSQ17" s="279"/>
      <c r="DSR17" s="279"/>
      <c r="DSS17" s="279"/>
      <c r="DST17" s="279"/>
      <c r="DSU17" s="279"/>
      <c r="DSV17" s="279"/>
      <c r="DSW17" s="279"/>
      <c r="DSX17" s="279"/>
      <c r="DSY17" s="279"/>
      <c r="DSZ17" s="279"/>
      <c r="DTA17" s="279"/>
      <c r="DTB17" s="279"/>
      <c r="DTC17" s="279"/>
      <c r="DTD17" s="279"/>
      <c r="DTE17" s="279"/>
      <c r="DTF17" s="279"/>
      <c r="DTG17" s="279"/>
      <c r="DTH17" s="279"/>
      <c r="DTI17" s="279"/>
      <c r="DTJ17" s="279"/>
      <c r="DTK17" s="279"/>
      <c r="DTL17" s="279"/>
      <c r="DTM17" s="279"/>
      <c r="DTN17" s="279"/>
      <c r="DTO17" s="279"/>
      <c r="DTP17" s="279"/>
      <c r="DTQ17" s="279"/>
      <c r="DTR17" s="279"/>
      <c r="DTS17" s="279"/>
      <c r="DTT17" s="279"/>
      <c r="DTU17" s="279"/>
      <c r="DTV17" s="279"/>
      <c r="DTW17" s="279"/>
      <c r="DTX17" s="279"/>
      <c r="DTY17" s="279"/>
      <c r="DTZ17" s="279"/>
      <c r="DUA17" s="279"/>
      <c r="DUB17" s="279"/>
      <c r="DUC17" s="279"/>
      <c r="DUD17" s="279"/>
      <c r="DUE17" s="279"/>
      <c r="DUF17" s="279"/>
      <c r="DUG17" s="279"/>
      <c r="DUH17" s="279"/>
      <c r="DUI17" s="279"/>
      <c r="DUJ17" s="279"/>
      <c r="DUK17" s="279"/>
      <c r="DUL17" s="279"/>
      <c r="DUM17" s="279"/>
      <c r="DUN17" s="279"/>
      <c r="DUO17" s="279"/>
      <c r="DUP17" s="279"/>
      <c r="DUQ17" s="279"/>
      <c r="DUR17" s="279"/>
      <c r="DUS17" s="279"/>
      <c r="DUT17" s="279"/>
      <c r="DUU17" s="279"/>
      <c r="DUV17" s="279"/>
      <c r="DUW17" s="279"/>
      <c r="DUX17" s="279"/>
      <c r="DUY17" s="279"/>
      <c r="DUZ17" s="279"/>
      <c r="DVA17" s="279"/>
      <c r="DVB17" s="279"/>
      <c r="DVC17" s="279"/>
      <c r="DVD17" s="279"/>
      <c r="DVE17" s="279"/>
      <c r="DVF17" s="279"/>
      <c r="DVG17" s="279"/>
      <c r="DVH17" s="279"/>
      <c r="DVI17" s="279"/>
      <c r="DVJ17" s="279"/>
      <c r="DVK17" s="279"/>
      <c r="DVL17" s="279"/>
      <c r="DVM17" s="279"/>
      <c r="DVN17" s="279"/>
      <c r="DVO17" s="279"/>
      <c r="DVP17" s="279"/>
      <c r="DVQ17" s="279"/>
      <c r="DVR17" s="279"/>
      <c r="DVS17" s="279"/>
      <c r="DVT17" s="279"/>
      <c r="DVU17" s="279"/>
      <c r="DVV17" s="279"/>
      <c r="DVW17" s="279"/>
      <c r="DVX17" s="279"/>
      <c r="DVY17" s="279"/>
      <c r="DVZ17" s="279"/>
      <c r="DWA17" s="279"/>
      <c r="DWB17" s="279"/>
      <c r="DWC17" s="279"/>
      <c r="DWD17" s="279"/>
      <c r="DWE17" s="279"/>
      <c r="DWF17" s="279"/>
      <c r="DWG17" s="279"/>
      <c r="DWH17" s="279"/>
      <c r="DWI17" s="279"/>
      <c r="DWJ17" s="279"/>
      <c r="DWK17" s="279"/>
      <c r="DWL17" s="279"/>
      <c r="DWM17" s="279"/>
      <c r="DWN17" s="279"/>
      <c r="DWO17" s="279"/>
      <c r="DWP17" s="279"/>
      <c r="DWQ17" s="279"/>
      <c r="DWR17" s="279"/>
      <c r="DWS17" s="279"/>
      <c r="DWT17" s="279"/>
      <c r="DWU17" s="279"/>
      <c r="DWV17" s="279"/>
      <c r="DWW17" s="279"/>
      <c r="DWX17" s="279"/>
      <c r="DWY17" s="279"/>
      <c r="DWZ17" s="279"/>
      <c r="DXA17" s="279"/>
      <c r="DXB17" s="279"/>
      <c r="DXC17" s="279"/>
      <c r="DXD17" s="279"/>
      <c r="DXE17" s="279"/>
      <c r="DXF17" s="279"/>
      <c r="DXG17" s="279"/>
      <c r="DXH17" s="279"/>
      <c r="DXI17" s="279"/>
      <c r="DXJ17" s="279"/>
      <c r="DXK17" s="279"/>
      <c r="DXL17" s="279"/>
      <c r="DXM17" s="279"/>
      <c r="DXN17" s="279"/>
      <c r="DXO17" s="279"/>
      <c r="DXP17" s="279"/>
      <c r="DXQ17" s="279"/>
      <c r="DXR17" s="279"/>
      <c r="DXS17" s="279"/>
      <c r="DXT17" s="279"/>
      <c r="DXU17" s="279"/>
      <c r="DXV17" s="279"/>
      <c r="DXW17" s="279"/>
      <c r="DXX17" s="279"/>
      <c r="DXY17" s="279"/>
      <c r="DXZ17" s="279"/>
      <c r="DYA17" s="279"/>
      <c r="DYB17" s="279"/>
      <c r="DYC17" s="279"/>
      <c r="DYD17" s="279"/>
      <c r="DYE17" s="279"/>
      <c r="DYF17" s="279"/>
      <c r="DYG17" s="279"/>
      <c r="DYH17" s="279"/>
      <c r="DYI17" s="279"/>
      <c r="DYJ17" s="279"/>
      <c r="DYK17" s="279"/>
      <c r="DYL17" s="279"/>
      <c r="DYM17" s="279"/>
      <c r="DYN17" s="279"/>
      <c r="DYO17" s="279"/>
      <c r="DYP17" s="279"/>
      <c r="DYQ17" s="279"/>
      <c r="DYR17" s="279"/>
      <c r="DYS17" s="279"/>
      <c r="DYT17" s="279"/>
      <c r="DYU17" s="279"/>
      <c r="DYV17" s="279"/>
      <c r="DYW17" s="279"/>
      <c r="DYX17" s="279"/>
      <c r="DYY17" s="279"/>
      <c r="DYZ17" s="279"/>
      <c r="DZA17" s="279"/>
      <c r="DZB17" s="279"/>
      <c r="DZC17" s="279"/>
      <c r="DZD17" s="279"/>
      <c r="DZE17" s="279"/>
      <c r="DZF17" s="279"/>
      <c r="DZG17" s="279"/>
      <c r="DZH17" s="279"/>
      <c r="DZI17" s="279"/>
      <c r="DZJ17" s="279"/>
      <c r="DZK17" s="279"/>
      <c r="DZL17" s="279"/>
      <c r="DZM17" s="279"/>
      <c r="DZN17" s="279"/>
      <c r="DZO17" s="279"/>
      <c r="DZP17" s="279"/>
      <c r="DZQ17" s="279"/>
      <c r="DZR17" s="279"/>
      <c r="DZS17" s="279"/>
      <c r="DZT17" s="279"/>
      <c r="DZU17" s="279"/>
      <c r="DZV17" s="279"/>
      <c r="DZW17" s="279"/>
      <c r="DZX17" s="279"/>
      <c r="DZY17" s="279"/>
      <c r="DZZ17" s="279"/>
      <c r="EAA17" s="279"/>
      <c r="EAB17" s="279"/>
      <c r="EAC17" s="279"/>
      <c r="EAD17" s="279"/>
      <c r="EAE17" s="279"/>
      <c r="EAF17" s="279"/>
      <c r="EAG17" s="279"/>
      <c r="EAH17" s="279"/>
      <c r="EAI17" s="279"/>
      <c r="EAJ17" s="279"/>
      <c r="EAK17" s="279"/>
      <c r="EAL17" s="279"/>
      <c r="EAM17" s="279"/>
      <c r="EAN17" s="279"/>
      <c r="EAO17" s="279"/>
      <c r="EAP17" s="279"/>
      <c r="EAQ17" s="279"/>
      <c r="EAR17" s="279"/>
      <c r="EAS17" s="279"/>
      <c r="EAT17" s="279"/>
      <c r="EAU17" s="279"/>
      <c r="EAV17" s="279"/>
      <c r="EAW17" s="279"/>
      <c r="EAX17" s="279"/>
      <c r="EAY17" s="279"/>
      <c r="EAZ17" s="279"/>
      <c r="EBA17" s="279"/>
      <c r="EBB17" s="279"/>
      <c r="EBC17" s="279"/>
      <c r="EBD17" s="279"/>
      <c r="EBE17" s="279"/>
      <c r="EBF17" s="279"/>
      <c r="EBG17" s="279"/>
      <c r="EBH17" s="279"/>
      <c r="EBI17" s="279"/>
      <c r="EBJ17" s="279"/>
      <c r="EBK17" s="279"/>
      <c r="EBL17" s="279"/>
      <c r="EBM17" s="279"/>
      <c r="EBN17" s="279"/>
      <c r="EBO17" s="279"/>
      <c r="EBP17" s="279"/>
      <c r="EBQ17" s="279"/>
      <c r="EBR17" s="279"/>
      <c r="EBS17" s="279"/>
      <c r="EBT17" s="279"/>
      <c r="EBU17" s="279"/>
      <c r="EBV17" s="279"/>
      <c r="EBW17" s="279"/>
      <c r="EBX17" s="279"/>
      <c r="EBY17" s="279"/>
      <c r="EBZ17" s="279"/>
      <c r="ECA17" s="279"/>
      <c r="ECB17" s="279"/>
      <c r="ECC17" s="279"/>
      <c r="ECD17" s="279"/>
      <c r="ECE17" s="279"/>
      <c r="ECF17" s="279"/>
      <c r="ECG17" s="279"/>
      <c r="ECH17" s="279"/>
      <c r="ECI17" s="279"/>
      <c r="ECJ17" s="279"/>
      <c r="ECK17" s="279"/>
      <c r="ECL17" s="279"/>
      <c r="ECM17" s="279"/>
      <c r="ECN17" s="279"/>
      <c r="ECO17" s="279"/>
      <c r="ECP17" s="279"/>
      <c r="ECQ17" s="279"/>
      <c r="ECR17" s="279"/>
      <c r="ECS17" s="279"/>
      <c r="ECT17" s="279"/>
      <c r="ECU17" s="279"/>
      <c r="ECV17" s="279"/>
      <c r="ECW17" s="279"/>
      <c r="ECX17" s="279"/>
      <c r="ECY17" s="279"/>
      <c r="ECZ17" s="279"/>
      <c r="EDA17" s="279"/>
      <c r="EDB17" s="279"/>
      <c r="EDC17" s="279"/>
      <c r="EDD17" s="279"/>
      <c r="EDE17" s="279"/>
      <c r="EDF17" s="279"/>
      <c r="EDG17" s="279"/>
      <c r="EDH17" s="279"/>
      <c r="EDI17" s="279"/>
      <c r="EDJ17" s="279"/>
      <c r="EDK17" s="279"/>
      <c r="EDL17" s="279"/>
      <c r="EDM17" s="279"/>
      <c r="EDN17" s="279"/>
      <c r="EDO17" s="279"/>
      <c r="EDP17" s="279"/>
      <c r="EDQ17" s="279"/>
      <c r="EDR17" s="279"/>
      <c r="EDS17" s="279"/>
      <c r="EDT17" s="279"/>
      <c r="EDU17" s="279"/>
      <c r="EDV17" s="279"/>
      <c r="EDW17" s="279"/>
      <c r="EDX17" s="279"/>
      <c r="EDY17" s="279"/>
      <c r="EDZ17" s="279"/>
      <c r="EEA17" s="279"/>
      <c r="EEB17" s="279"/>
      <c r="EEC17" s="279"/>
      <c r="EED17" s="279"/>
      <c r="EEE17" s="279"/>
      <c r="EEF17" s="279"/>
      <c r="EEG17" s="279"/>
      <c r="EEH17" s="279"/>
      <c r="EEI17" s="279"/>
      <c r="EEJ17" s="279"/>
      <c r="EEK17" s="279"/>
      <c r="EEL17" s="279"/>
      <c r="EEM17" s="279"/>
      <c r="EEN17" s="279"/>
      <c r="EEO17" s="279"/>
      <c r="EEP17" s="279"/>
      <c r="EEQ17" s="279"/>
      <c r="EER17" s="279"/>
      <c r="EES17" s="279"/>
      <c r="EET17" s="279"/>
      <c r="EEU17" s="279"/>
      <c r="EEV17" s="279"/>
      <c r="EEW17" s="279"/>
      <c r="EEX17" s="279"/>
      <c r="EEY17" s="279"/>
      <c r="EEZ17" s="279"/>
      <c r="EFA17" s="279"/>
      <c r="EFB17" s="279"/>
      <c r="EFC17" s="279"/>
      <c r="EFD17" s="279"/>
      <c r="EFE17" s="279"/>
      <c r="EFF17" s="279"/>
      <c r="EFG17" s="279"/>
      <c r="EFH17" s="279"/>
      <c r="EFI17" s="279"/>
      <c r="EFJ17" s="279"/>
      <c r="EFK17" s="279"/>
      <c r="EFL17" s="279"/>
      <c r="EFM17" s="279"/>
      <c r="EFN17" s="279"/>
      <c r="EFO17" s="279"/>
      <c r="EFP17" s="279"/>
      <c r="EFQ17" s="279"/>
      <c r="EFR17" s="279"/>
      <c r="EFS17" s="279"/>
      <c r="EFT17" s="279"/>
      <c r="EFU17" s="279"/>
      <c r="EFV17" s="279"/>
      <c r="EFW17" s="279"/>
      <c r="EFX17" s="279"/>
      <c r="EFY17" s="279"/>
      <c r="EFZ17" s="279"/>
      <c r="EGA17" s="279"/>
      <c r="EGB17" s="279"/>
      <c r="EGC17" s="279"/>
      <c r="EGD17" s="279"/>
      <c r="EGE17" s="279"/>
      <c r="EGF17" s="279"/>
      <c r="EGG17" s="279"/>
      <c r="EGH17" s="279"/>
      <c r="EGI17" s="279"/>
      <c r="EGJ17" s="279"/>
      <c r="EGK17" s="279"/>
      <c r="EGL17" s="279"/>
      <c r="EGM17" s="279"/>
      <c r="EGN17" s="279"/>
      <c r="EGO17" s="279"/>
      <c r="EGP17" s="279"/>
      <c r="EGQ17" s="279"/>
      <c r="EGR17" s="279"/>
      <c r="EGS17" s="279"/>
      <c r="EGT17" s="279"/>
      <c r="EGU17" s="279"/>
      <c r="EGV17" s="279"/>
      <c r="EGW17" s="279"/>
      <c r="EGX17" s="279"/>
      <c r="EGY17" s="279"/>
      <c r="EGZ17" s="279"/>
      <c r="EHA17" s="279"/>
      <c r="EHB17" s="279"/>
      <c r="EHC17" s="279"/>
      <c r="EHD17" s="279"/>
      <c r="EHE17" s="279"/>
      <c r="EHF17" s="279"/>
      <c r="EHG17" s="279"/>
      <c r="EHH17" s="279"/>
      <c r="EHI17" s="279"/>
      <c r="EHJ17" s="279"/>
      <c r="EHK17" s="279"/>
      <c r="EHL17" s="279"/>
      <c r="EHM17" s="279"/>
      <c r="EHN17" s="279"/>
      <c r="EHO17" s="279"/>
      <c r="EHP17" s="279"/>
      <c r="EHQ17" s="279"/>
      <c r="EHR17" s="279"/>
      <c r="EHS17" s="279"/>
      <c r="EHT17" s="279"/>
      <c r="EHU17" s="279"/>
      <c r="EHV17" s="279"/>
      <c r="EHW17" s="279"/>
      <c r="EHX17" s="279"/>
      <c r="EHY17" s="279"/>
      <c r="EHZ17" s="279"/>
      <c r="EIA17" s="279"/>
      <c r="EIB17" s="279"/>
      <c r="EIC17" s="279"/>
      <c r="EID17" s="279"/>
      <c r="EIE17" s="279"/>
      <c r="EIF17" s="279"/>
      <c r="EIG17" s="279"/>
      <c r="EIH17" s="279"/>
      <c r="EII17" s="279"/>
      <c r="EIJ17" s="279"/>
      <c r="EIK17" s="279"/>
      <c r="EIL17" s="279"/>
      <c r="EIM17" s="279"/>
      <c r="EIN17" s="279"/>
      <c r="EIO17" s="279"/>
      <c r="EIP17" s="279"/>
      <c r="EIQ17" s="279"/>
      <c r="EIR17" s="279"/>
      <c r="EIS17" s="279"/>
      <c r="EIT17" s="279"/>
      <c r="EIU17" s="279"/>
      <c r="EIV17" s="279"/>
      <c r="EIW17" s="279"/>
      <c r="EIX17" s="279"/>
      <c r="EIY17" s="279"/>
      <c r="EIZ17" s="279"/>
      <c r="EJA17" s="279"/>
      <c r="EJB17" s="279"/>
      <c r="EJC17" s="279"/>
      <c r="EJD17" s="279"/>
      <c r="EJE17" s="279"/>
      <c r="EJF17" s="279"/>
      <c r="EJG17" s="279"/>
      <c r="EJH17" s="279"/>
      <c r="EJI17" s="279"/>
      <c r="EJJ17" s="279"/>
      <c r="EJK17" s="279"/>
      <c r="EJL17" s="279"/>
      <c r="EJM17" s="279"/>
      <c r="EJN17" s="279"/>
      <c r="EJO17" s="279"/>
      <c r="EJP17" s="279"/>
      <c r="EJQ17" s="279"/>
      <c r="EJR17" s="279"/>
      <c r="EJS17" s="279"/>
      <c r="EJT17" s="279"/>
      <c r="EJU17" s="279"/>
      <c r="EJV17" s="279"/>
      <c r="EJW17" s="279"/>
      <c r="EJX17" s="279"/>
      <c r="EJY17" s="279"/>
      <c r="EJZ17" s="279"/>
      <c r="EKA17" s="279"/>
      <c r="EKB17" s="279"/>
      <c r="EKC17" s="279"/>
      <c r="EKD17" s="279"/>
      <c r="EKE17" s="279"/>
      <c r="EKF17" s="279"/>
      <c r="EKG17" s="279"/>
      <c r="EKH17" s="279"/>
      <c r="EKI17" s="279"/>
      <c r="EKJ17" s="279"/>
      <c r="EKK17" s="279"/>
      <c r="EKL17" s="279"/>
      <c r="EKM17" s="279"/>
      <c r="EKN17" s="279"/>
      <c r="EKO17" s="279"/>
      <c r="EKP17" s="279"/>
      <c r="EKQ17" s="279"/>
      <c r="EKR17" s="279"/>
      <c r="EKS17" s="279"/>
      <c r="EKT17" s="279"/>
      <c r="EKU17" s="279"/>
      <c r="EKV17" s="279"/>
      <c r="EKW17" s="279"/>
      <c r="EKX17" s="279"/>
      <c r="EKY17" s="279"/>
      <c r="EKZ17" s="279"/>
      <c r="ELA17" s="279"/>
      <c r="ELB17" s="279"/>
      <c r="ELC17" s="279"/>
      <c r="ELD17" s="279"/>
      <c r="ELE17" s="279"/>
      <c r="ELF17" s="279"/>
      <c r="ELG17" s="279"/>
      <c r="ELH17" s="279"/>
      <c r="ELI17" s="279"/>
      <c r="ELJ17" s="279"/>
      <c r="ELK17" s="279"/>
      <c r="ELL17" s="279"/>
      <c r="ELM17" s="279"/>
      <c r="ELN17" s="279"/>
      <c r="ELO17" s="279"/>
      <c r="ELP17" s="279"/>
      <c r="ELQ17" s="279"/>
      <c r="ELR17" s="279"/>
      <c r="ELS17" s="279"/>
      <c r="ELT17" s="279"/>
      <c r="ELU17" s="279"/>
      <c r="ELV17" s="279"/>
      <c r="ELW17" s="279"/>
      <c r="ELX17" s="279"/>
      <c r="ELY17" s="279"/>
      <c r="ELZ17" s="279"/>
      <c r="EMA17" s="279"/>
      <c r="EMB17" s="279"/>
      <c r="EMC17" s="279"/>
      <c r="EMD17" s="279"/>
      <c r="EME17" s="279"/>
      <c r="EMF17" s="279"/>
      <c r="EMG17" s="279"/>
      <c r="EMH17" s="279"/>
      <c r="EMI17" s="279"/>
      <c r="EMJ17" s="279"/>
      <c r="EMK17" s="279"/>
      <c r="EML17" s="279"/>
      <c r="EMM17" s="279"/>
      <c r="EMN17" s="279"/>
      <c r="EMO17" s="279"/>
      <c r="EMP17" s="279"/>
      <c r="EMQ17" s="279"/>
      <c r="EMR17" s="279"/>
      <c r="EMS17" s="279"/>
      <c r="EMT17" s="279"/>
      <c r="EMU17" s="279"/>
      <c r="EMV17" s="279"/>
      <c r="EMW17" s="279"/>
      <c r="EMX17" s="279"/>
      <c r="EMY17" s="279"/>
      <c r="EMZ17" s="279"/>
      <c r="ENA17" s="279"/>
      <c r="ENB17" s="279"/>
      <c r="ENC17" s="279"/>
      <c r="END17" s="279"/>
      <c r="ENE17" s="279"/>
      <c r="ENF17" s="279"/>
      <c r="ENG17" s="279"/>
      <c r="ENH17" s="279"/>
      <c r="ENI17" s="279"/>
      <c r="ENJ17" s="279"/>
      <c r="ENK17" s="279"/>
      <c r="ENL17" s="279"/>
      <c r="ENM17" s="279"/>
      <c r="ENN17" s="279"/>
      <c r="ENO17" s="279"/>
      <c r="ENP17" s="279"/>
      <c r="ENQ17" s="279"/>
      <c r="ENR17" s="279"/>
      <c r="ENS17" s="279"/>
      <c r="ENT17" s="279"/>
      <c r="ENU17" s="279"/>
      <c r="ENV17" s="279"/>
      <c r="ENW17" s="279"/>
      <c r="ENX17" s="279"/>
      <c r="ENY17" s="279"/>
      <c r="ENZ17" s="279"/>
      <c r="EOA17" s="279"/>
      <c r="EOB17" s="279"/>
      <c r="EOC17" s="279"/>
      <c r="EOD17" s="279"/>
      <c r="EOE17" s="279"/>
      <c r="EOF17" s="279"/>
      <c r="EOG17" s="279"/>
      <c r="EOH17" s="279"/>
      <c r="EOI17" s="279"/>
      <c r="EOJ17" s="279"/>
      <c r="EOK17" s="279"/>
      <c r="EOL17" s="279"/>
      <c r="EOM17" s="279"/>
      <c r="EON17" s="279"/>
      <c r="EOO17" s="279"/>
      <c r="EOP17" s="279"/>
      <c r="EOQ17" s="279"/>
      <c r="EOR17" s="279"/>
      <c r="EOS17" s="279"/>
      <c r="EOT17" s="279"/>
      <c r="EOU17" s="279"/>
      <c r="EOV17" s="279"/>
      <c r="EOW17" s="279"/>
      <c r="EOX17" s="279"/>
      <c r="EOY17" s="279"/>
      <c r="EOZ17" s="279"/>
      <c r="EPA17" s="279"/>
      <c r="EPB17" s="279"/>
      <c r="EPC17" s="279"/>
      <c r="EPD17" s="279"/>
      <c r="EPE17" s="279"/>
      <c r="EPF17" s="279"/>
      <c r="EPG17" s="279"/>
      <c r="EPH17" s="279"/>
      <c r="EPI17" s="279"/>
      <c r="EPJ17" s="279"/>
      <c r="EPK17" s="279"/>
      <c r="EPL17" s="279"/>
      <c r="EPM17" s="279"/>
      <c r="EPN17" s="279"/>
      <c r="EPO17" s="279"/>
      <c r="EPP17" s="279"/>
      <c r="EPQ17" s="279"/>
      <c r="EPR17" s="279"/>
      <c r="EPS17" s="279"/>
      <c r="EPT17" s="279"/>
      <c r="EPU17" s="279"/>
      <c r="EPV17" s="279"/>
      <c r="EPW17" s="279"/>
      <c r="EPX17" s="279"/>
      <c r="EPY17" s="279"/>
      <c r="EPZ17" s="279"/>
      <c r="EQA17" s="279"/>
      <c r="EQB17" s="279"/>
      <c r="EQC17" s="279"/>
      <c r="EQD17" s="279"/>
      <c r="EQE17" s="279"/>
      <c r="EQF17" s="279"/>
      <c r="EQG17" s="279"/>
      <c r="EQH17" s="279"/>
      <c r="EQI17" s="279"/>
      <c r="EQJ17" s="279"/>
      <c r="EQK17" s="279"/>
      <c r="EQL17" s="279"/>
      <c r="EQM17" s="279"/>
      <c r="EQN17" s="279"/>
      <c r="EQO17" s="279"/>
      <c r="EQP17" s="279"/>
      <c r="EQQ17" s="279"/>
      <c r="EQR17" s="279"/>
      <c r="EQS17" s="279"/>
      <c r="EQT17" s="279"/>
      <c r="EQU17" s="279"/>
      <c r="EQV17" s="279"/>
      <c r="EQW17" s="279"/>
      <c r="EQX17" s="279"/>
      <c r="EQY17" s="279"/>
      <c r="EQZ17" s="279"/>
      <c r="ERA17" s="279"/>
      <c r="ERB17" s="279"/>
      <c r="ERC17" s="279"/>
      <c r="ERD17" s="279"/>
      <c r="ERE17" s="279"/>
      <c r="ERF17" s="279"/>
      <c r="ERG17" s="279"/>
      <c r="ERH17" s="279"/>
      <c r="ERI17" s="279"/>
      <c r="ERJ17" s="279"/>
      <c r="ERK17" s="279"/>
      <c r="ERL17" s="279"/>
      <c r="ERM17" s="279"/>
      <c r="ERN17" s="279"/>
      <c r="ERO17" s="279"/>
      <c r="ERP17" s="279"/>
      <c r="ERQ17" s="279"/>
      <c r="ERR17" s="279"/>
      <c r="ERS17" s="279"/>
      <c r="ERT17" s="279"/>
      <c r="ERU17" s="279"/>
      <c r="ERV17" s="279"/>
      <c r="ERW17" s="279"/>
      <c r="ERX17" s="279"/>
      <c r="ERY17" s="279"/>
      <c r="ERZ17" s="279"/>
      <c r="ESA17" s="279"/>
      <c r="ESB17" s="279"/>
      <c r="ESC17" s="279"/>
      <c r="ESD17" s="279"/>
      <c r="ESE17" s="279"/>
      <c r="ESF17" s="279"/>
      <c r="ESG17" s="279"/>
      <c r="ESH17" s="279"/>
      <c r="ESI17" s="279"/>
      <c r="ESJ17" s="279"/>
      <c r="ESK17" s="279"/>
      <c r="ESL17" s="279"/>
      <c r="ESM17" s="279"/>
      <c r="ESN17" s="279"/>
      <c r="ESO17" s="279"/>
      <c r="ESP17" s="279"/>
      <c r="ESQ17" s="279"/>
      <c r="ESR17" s="279"/>
      <c r="ESS17" s="279"/>
      <c r="EST17" s="279"/>
      <c r="ESU17" s="279"/>
      <c r="ESV17" s="279"/>
      <c r="ESW17" s="279"/>
      <c r="ESX17" s="279"/>
      <c r="ESY17" s="279"/>
      <c r="ESZ17" s="279"/>
      <c r="ETA17" s="279"/>
      <c r="ETB17" s="279"/>
      <c r="ETC17" s="279"/>
      <c r="ETD17" s="279"/>
      <c r="ETE17" s="279"/>
      <c r="ETF17" s="279"/>
      <c r="ETG17" s="279"/>
      <c r="ETH17" s="279"/>
      <c r="ETI17" s="279"/>
      <c r="ETJ17" s="279"/>
      <c r="ETK17" s="279"/>
      <c r="ETL17" s="279"/>
      <c r="ETM17" s="279"/>
      <c r="ETN17" s="279"/>
      <c r="ETO17" s="279"/>
      <c r="ETP17" s="279"/>
      <c r="ETQ17" s="279"/>
      <c r="ETR17" s="279"/>
      <c r="ETS17" s="279"/>
      <c r="ETT17" s="279"/>
      <c r="ETU17" s="279"/>
      <c r="ETV17" s="279"/>
      <c r="ETW17" s="279"/>
      <c r="ETX17" s="279"/>
      <c r="ETY17" s="279"/>
      <c r="ETZ17" s="279"/>
      <c r="EUA17" s="279"/>
      <c r="EUB17" s="279"/>
      <c r="EUC17" s="279"/>
      <c r="EUD17" s="279"/>
      <c r="EUE17" s="279"/>
      <c r="EUF17" s="279"/>
      <c r="EUG17" s="279"/>
      <c r="EUH17" s="279"/>
      <c r="EUI17" s="279"/>
      <c r="EUJ17" s="279"/>
      <c r="EUK17" s="279"/>
      <c r="EUL17" s="279"/>
      <c r="EUM17" s="279"/>
      <c r="EUN17" s="279"/>
      <c r="EUO17" s="279"/>
      <c r="EUP17" s="279"/>
      <c r="EUQ17" s="279"/>
      <c r="EUR17" s="279"/>
      <c r="EUS17" s="279"/>
      <c r="EUT17" s="279"/>
      <c r="EUU17" s="279"/>
      <c r="EUV17" s="279"/>
      <c r="EUW17" s="279"/>
      <c r="EUX17" s="279"/>
      <c r="EUY17" s="279"/>
      <c r="EUZ17" s="279"/>
      <c r="EVA17" s="279"/>
      <c r="EVB17" s="279"/>
      <c r="EVC17" s="279"/>
      <c r="EVD17" s="279"/>
      <c r="EVE17" s="279"/>
      <c r="EVF17" s="279"/>
      <c r="EVG17" s="279"/>
      <c r="EVH17" s="279"/>
      <c r="EVI17" s="279"/>
      <c r="EVJ17" s="279"/>
      <c r="EVK17" s="279"/>
      <c r="EVL17" s="279"/>
      <c r="EVM17" s="279"/>
      <c r="EVN17" s="279"/>
      <c r="EVO17" s="279"/>
      <c r="EVP17" s="279"/>
      <c r="EVQ17" s="279"/>
      <c r="EVR17" s="279"/>
      <c r="EVS17" s="279"/>
      <c r="EVT17" s="279"/>
      <c r="EVU17" s="279"/>
      <c r="EVV17" s="279"/>
      <c r="EVW17" s="279"/>
      <c r="EVX17" s="279"/>
      <c r="EVY17" s="279"/>
      <c r="EVZ17" s="279"/>
      <c r="EWA17" s="279"/>
      <c r="EWB17" s="279"/>
      <c r="EWC17" s="279"/>
      <c r="EWD17" s="279"/>
      <c r="EWE17" s="279"/>
      <c r="EWF17" s="279"/>
      <c r="EWG17" s="279"/>
      <c r="EWH17" s="279"/>
      <c r="EWI17" s="279"/>
      <c r="EWJ17" s="279"/>
      <c r="EWK17" s="279"/>
      <c r="EWL17" s="279"/>
      <c r="EWM17" s="279"/>
      <c r="EWN17" s="279"/>
      <c r="EWO17" s="279"/>
      <c r="EWP17" s="279"/>
      <c r="EWQ17" s="279"/>
      <c r="EWR17" s="279"/>
      <c r="EWS17" s="279"/>
      <c r="EWT17" s="279"/>
      <c r="EWU17" s="279"/>
      <c r="EWV17" s="279"/>
      <c r="EWW17" s="279"/>
      <c r="EWX17" s="279"/>
      <c r="EWY17" s="279"/>
      <c r="EWZ17" s="279"/>
      <c r="EXA17" s="279"/>
      <c r="EXB17" s="279"/>
      <c r="EXC17" s="279"/>
      <c r="EXD17" s="279"/>
      <c r="EXE17" s="279"/>
      <c r="EXF17" s="279"/>
      <c r="EXG17" s="279"/>
      <c r="EXH17" s="279"/>
      <c r="EXI17" s="279"/>
      <c r="EXJ17" s="279"/>
      <c r="EXK17" s="279"/>
      <c r="EXL17" s="279"/>
      <c r="EXM17" s="279"/>
      <c r="EXN17" s="279"/>
      <c r="EXO17" s="279"/>
      <c r="EXP17" s="279"/>
      <c r="EXQ17" s="279"/>
      <c r="EXR17" s="279"/>
      <c r="EXS17" s="279"/>
      <c r="EXT17" s="279"/>
      <c r="EXU17" s="279"/>
      <c r="EXV17" s="279"/>
      <c r="EXW17" s="279"/>
      <c r="EXX17" s="279"/>
      <c r="EXY17" s="279"/>
      <c r="EXZ17" s="279"/>
      <c r="EYA17" s="279"/>
      <c r="EYB17" s="279"/>
      <c r="EYC17" s="279"/>
      <c r="EYD17" s="279"/>
      <c r="EYE17" s="279"/>
      <c r="EYF17" s="279"/>
      <c r="EYG17" s="279"/>
      <c r="EYH17" s="279"/>
      <c r="EYI17" s="279"/>
      <c r="EYJ17" s="279"/>
      <c r="EYK17" s="279"/>
      <c r="EYL17" s="279"/>
      <c r="EYM17" s="279"/>
      <c r="EYN17" s="279"/>
      <c r="EYO17" s="279"/>
      <c r="EYP17" s="279"/>
      <c r="EYQ17" s="279"/>
      <c r="EYR17" s="279"/>
      <c r="EYS17" s="279"/>
      <c r="EYT17" s="279"/>
      <c r="EYU17" s="279"/>
      <c r="EYV17" s="279"/>
      <c r="EYW17" s="279"/>
      <c r="EYX17" s="279"/>
      <c r="EYY17" s="279"/>
      <c r="EYZ17" s="279"/>
      <c r="EZA17" s="279"/>
      <c r="EZB17" s="279"/>
      <c r="EZC17" s="279"/>
      <c r="EZD17" s="279"/>
      <c r="EZE17" s="279"/>
      <c r="EZF17" s="279"/>
      <c r="EZG17" s="279"/>
      <c r="EZH17" s="279"/>
      <c r="EZI17" s="279"/>
      <c r="EZJ17" s="279"/>
      <c r="EZK17" s="279"/>
      <c r="EZL17" s="279"/>
      <c r="EZM17" s="279"/>
      <c r="EZN17" s="279"/>
      <c r="EZO17" s="279"/>
      <c r="EZP17" s="279"/>
      <c r="EZQ17" s="279"/>
      <c r="EZR17" s="279"/>
      <c r="EZS17" s="279"/>
      <c r="EZT17" s="279"/>
      <c r="EZU17" s="279"/>
      <c r="EZV17" s="279"/>
      <c r="EZW17" s="279"/>
      <c r="EZX17" s="279"/>
      <c r="EZY17" s="279"/>
      <c r="EZZ17" s="279"/>
      <c r="FAA17" s="279"/>
      <c r="FAB17" s="279"/>
      <c r="FAC17" s="279"/>
      <c r="FAD17" s="279"/>
      <c r="FAE17" s="279"/>
      <c r="FAF17" s="279"/>
      <c r="FAG17" s="279"/>
      <c r="FAH17" s="279"/>
      <c r="FAI17" s="279"/>
      <c r="FAJ17" s="279"/>
      <c r="FAK17" s="279"/>
      <c r="FAL17" s="279"/>
      <c r="FAM17" s="279"/>
      <c r="FAN17" s="279"/>
      <c r="FAO17" s="279"/>
      <c r="FAP17" s="279"/>
      <c r="FAQ17" s="279"/>
      <c r="FAR17" s="279"/>
      <c r="FAS17" s="279"/>
      <c r="FAT17" s="279"/>
      <c r="FAU17" s="279"/>
      <c r="FAV17" s="279"/>
      <c r="FAW17" s="279"/>
      <c r="FAX17" s="279"/>
      <c r="FAY17" s="279"/>
      <c r="FAZ17" s="279"/>
      <c r="FBA17" s="279"/>
      <c r="FBB17" s="279"/>
      <c r="FBC17" s="279"/>
      <c r="FBD17" s="279"/>
      <c r="FBE17" s="279"/>
      <c r="FBF17" s="279"/>
      <c r="FBG17" s="279"/>
      <c r="FBH17" s="279"/>
      <c r="FBI17" s="279"/>
      <c r="FBJ17" s="279"/>
      <c r="FBK17" s="279"/>
      <c r="FBL17" s="279"/>
      <c r="FBM17" s="279"/>
      <c r="FBN17" s="279"/>
      <c r="FBO17" s="279"/>
      <c r="FBP17" s="279"/>
      <c r="FBQ17" s="279"/>
      <c r="FBR17" s="279"/>
      <c r="FBS17" s="279"/>
      <c r="FBT17" s="279"/>
      <c r="FBU17" s="279"/>
      <c r="FBV17" s="279"/>
      <c r="FBW17" s="279"/>
      <c r="FBX17" s="279"/>
      <c r="FBY17" s="279"/>
      <c r="FBZ17" s="279"/>
      <c r="FCA17" s="279"/>
      <c r="FCB17" s="279"/>
      <c r="FCC17" s="279"/>
      <c r="FCD17" s="279"/>
      <c r="FCE17" s="279"/>
      <c r="FCF17" s="279"/>
      <c r="FCG17" s="279"/>
      <c r="FCH17" s="279"/>
      <c r="FCI17" s="279"/>
      <c r="FCJ17" s="279"/>
      <c r="FCK17" s="279"/>
      <c r="FCL17" s="279"/>
      <c r="FCM17" s="279"/>
      <c r="FCN17" s="279"/>
      <c r="FCO17" s="279"/>
      <c r="FCP17" s="279"/>
      <c r="FCQ17" s="279"/>
      <c r="FCR17" s="279"/>
      <c r="FCS17" s="279"/>
      <c r="FCT17" s="279"/>
      <c r="FCU17" s="279"/>
      <c r="FCV17" s="279"/>
      <c r="FCW17" s="279"/>
      <c r="FCX17" s="279"/>
      <c r="FCY17" s="279"/>
      <c r="FCZ17" s="279"/>
      <c r="FDA17" s="279"/>
      <c r="FDB17" s="279"/>
      <c r="FDC17" s="279"/>
      <c r="FDD17" s="279"/>
      <c r="FDE17" s="279"/>
      <c r="FDF17" s="279"/>
      <c r="FDG17" s="279"/>
      <c r="FDH17" s="279"/>
      <c r="FDI17" s="279"/>
      <c r="FDJ17" s="279"/>
      <c r="FDK17" s="279"/>
      <c r="FDL17" s="279"/>
      <c r="FDM17" s="279"/>
      <c r="FDN17" s="279"/>
      <c r="FDO17" s="279"/>
      <c r="FDP17" s="279"/>
      <c r="FDQ17" s="279"/>
      <c r="FDR17" s="279"/>
      <c r="FDS17" s="279"/>
      <c r="FDT17" s="279"/>
      <c r="FDU17" s="279"/>
      <c r="FDV17" s="279"/>
      <c r="FDW17" s="279"/>
      <c r="FDX17" s="279"/>
      <c r="FDY17" s="279"/>
      <c r="FDZ17" s="279"/>
      <c r="FEA17" s="279"/>
      <c r="FEB17" s="279"/>
      <c r="FEC17" s="279"/>
      <c r="FED17" s="279"/>
      <c r="FEE17" s="279"/>
      <c r="FEF17" s="279"/>
      <c r="FEG17" s="279"/>
      <c r="FEH17" s="279"/>
      <c r="FEI17" s="279"/>
      <c r="FEJ17" s="279"/>
      <c r="FEK17" s="279"/>
      <c r="FEL17" s="279"/>
      <c r="FEM17" s="279"/>
      <c r="FEN17" s="279"/>
      <c r="FEO17" s="279"/>
      <c r="FEP17" s="279"/>
      <c r="FEQ17" s="279"/>
      <c r="FER17" s="279"/>
      <c r="FES17" s="279"/>
      <c r="FET17" s="279"/>
      <c r="FEU17" s="279"/>
      <c r="FEV17" s="279"/>
      <c r="FEW17" s="279"/>
      <c r="FEX17" s="279"/>
      <c r="FEY17" s="279"/>
      <c r="FEZ17" s="279"/>
      <c r="FFA17" s="279"/>
      <c r="FFB17" s="279"/>
      <c r="FFC17" s="279"/>
      <c r="FFD17" s="279"/>
      <c r="FFE17" s="279"/>
      <c r="FFF17" s="279"/>
      <c r="FFG17" s="279"/>
      <c r="FFH17" s="279"/>
      <c r="FFI17" s="279"/>
      <c r="FFJ17" s="279"/>
      <c r="FFK17" s="279"/>
      <c r="FFL17" s="279"/>
      <c r="FFM17" s="279"/>
      <c r="FFN17" s="279"/>
      <c r="FFO17" s="279"/>
      <c r="FFP17" s="279"/>
      <c r="FFQ17" s="279"/>
      <c r="FFR17" s="279"/>
      <c r="FFS17" s="279"/>
      <c r="FFT17" s="279"/>
      <c r="FFU17" s="279"/>
      <c r="FFV17" s="279"/>
      <c r="FFW17" s="279"/>
      <c r="FFX17" s="279"/>
      <c r="FFY17" s="279"/>
      <c r="FFZ17" s="279"/>
      <c r="FGA17" s="279"/>
      <c r="FGB17" s="279"/>
      <c r="FGC17" s="279"/>
      <c r="FGD17" s="279"/>
      <c r="FGE17" s="279"/>
      <c r="FGF17" s="279"/>
      <c r="FGG17" s="279"/>
      <c r="FGH17" s="279"/>
      <c r="FGI17" s="279"/>
      <c r="FGJ17" s="279"/>
      <c r="FGK17" s="279"/>
      <c r="FGL17" s="279"/>
      <c r="FGM17" s="279"/>
      <c r="FGN17" s="279"/>
      <c r="FGO17" s="279"/>
      <c r="FGP17" s="279"/>
      <c r="FGQ17" s="279"/>
      <c r="FGR17" s="279"/>
      <c r="FGS17" s="279"/>
      <c r="FGT17" s="279"/>
      <c r="FGU17" s="279"/>
      <c r="FGV17" s="279"/>
      <c r="FGW17" s="279"/>
      <c r="FGX17" s="279"/>
      <c r="FGY17" s="279"/>
      <c r="FGZ17" s="279"/>
      <c r="FHA17" s="279"/>
      <c r="FHB17" s="279"/>
      <c r="FHC17" s="279"/>
      <c r="FHD17" s="279"/>
      <c r="FHE17" s="279"/>
      <c r="FHF17" s="279"/>
      <c r="FHG17" s="279"/>
      <c r="FHH17" s="279"/>
      <c r="FHI17" s="279"/>
      <c r="FHJ17" s="279"/>
      <c r="FHK17" s="279"/>
      <c r="FHL17" s="279"/>
      <c r="FHM17" s="279"/>
      <c r="FHN17" s="279"/>
      <c r="FHO17" s="279"/>
      <c r="FHP17" s="279"/>
      <c r="FHQ17" s="279"/>
      <c r="FHR17" s="279"/>
      <c r="FHS17" s="279"/>
      <c r="FHT17" s="279"/>
      <c r="FHU17" s="279"/>
      <c r="FHV17" s="279"/>
      <c r="FHW17" s="279"/>
      <c r="FHX17" s="279"/>
      <c r="FHY17" s="279"/>
      <c r="FHZ17" s="279"/>
      <c r="FIA17" s="279"/>
      <c r="FIB17" s="279"/>
      <c r="FIC17" s="279"/>
      <c r="FID17" s="279"/>
      <c r="FIE17" s="279"/>
      <c r="FIF17" s="279"/>
      <c r="FIG17" s="279"/>
      <c r="FIH17" s="279"/>
      <c r="FII17" s="279"/>
      <c r="FIJ17" s="279"/>
      <c r="FIK17" s="279"/>
      <c r="FIL17" s="279"/>
      <c r="FIM17" s="279"/>
      <c r="FIN17" s="279"/>
      <c r="FIO17" s="279"/>
      <c r="FIP17" s="279"/>
      <c r="FIQ17" s="279"/>
      <c r="FIR17" s="279"/>
      <c r="FIS17" s="279"/>
      <c r="FIT17" s="279"/>
      <c r="FIU17" s="279"/>
      <c r="FIV17" s="279"/>
      <c r="FIW17" s="279"/>
      <c r="FIX17" s="279"/>
      <c r="FIY17" s="279"/>
      <c r="FIZ17" s="279"/>
      <c r="FJA17" s="279"/>
      <c r="FJB17" s="279"/>
      <c r="FJC17" s="279"/>
      <c r="FJD17" s="279"/>
      <c r="FJE17" s="279"/>
      <c r="FJF17" s="279"/>
      <c r="FJG17" s="279"/>
      <c r="FJH17" s="279"/>
      <c r="FJI17" s="279"/>
      <c r="FJJ17" s="279"/>
      <c r="FJK17" s="279"/>
      <c r="FJL17" s="279"/>
      <c r="FJM17" s="279"/>
      <c r="FJN17" s="279"/>
      <c r="FJO17" s="279"/>
      <c r="FJP17" s="279"/>
      <c r="FJQ17" s="279"/>
      <c r="FJR17" s="279"/>
      <c r="FJS17" s="279"/>
      <c r="FJT17" s="279"/>
      <c r="FJU17" s="279"/>
      <c r="FJV17" s="279"/>
      <c r="FJW17" s="279"/>
      <c r="FJX17" s="279"/>
      <c r="FJY17" s="279"/>
      <c r="FJZ17" s="279"/>
      <c r="FKA17" s="279"/>
      <c r="FKB17" s="279"/>
      <c r="FKC17" s="279"/>
      <c r="FKD17" s="279"/>
      <c r="FKE17" s="279"/>
      <c r="FKF17" s="279"/>
      <c r="FKG17" s="279"/>
      <c r="FKH17" s="279"/>
      <c r="FKI17" s="279"/>
      <c r="FKJ17" s="279"/>
      <c r="FKK17" s="279"/>
      <c r="FKL17" s="279"/>
      <c r="FKM17" s="279"/>
      <c r="FKN17" s="279"/>
      <c r="FKO17" s="279"/>
      <c r="FKP17" s="279"/>
      <c r="FKQ17" s="279"/>
      <c r="FKR17" s="279"/>
      <c r="FKS17" s="279"/>
      <c r="FKT17" s="279"/>
      <c r="FKU17" s="279"/>
      <c r="FKV17" s="279"/>
      <c r="FKW17" s="279"/>
      <c r="FKX17" s="279"/>
      <c r="FKY17" s="279"/>
      <c r="FKZ17" s="279"/>
      <c r="FLA17" s="279"/>
      <c r="FLB17" s="279"/>
      <c r="FLC17" s="279"/>
      <c r="FLD17" s="279"/>
      <c r="FLE17" s="279"/>
      <c r="FLF17" s="279"/>
      <c r="FLG17" s="279"/>
      <c r="FLH17" s="279"/>
      <c r="FLI17" s="279"/>
      <c r="FLJ17" s="279"/>
      <c r="FLK17" s="279"/>
      <c r="FLL17" s="279"/>
      <c r="FLM17" s="279"/>
      <c r="FLN17" s="279"/>
      <c r="FLO17" s="279"/>
      <c r="FLP17" s="279"/>
      <c r="FLQ17" s="279"/>
      <c r="FLR17" s="279"/>
      <c r="FLS17" s="279"/>
      <c r="FLT17" s="279"/>
      <c r="FLU17" s="279"/>
      <c r="FLV17" s="279"/>
      <c r="FLW17" s="279"/>
      <c r="FLX17" s="279"/>
      <c r="FLY17" s="279"/>
      <c r="FLZ17" s="279"/>
      <c r="FMA17" s="279"/>
      <c r="FMB17" s="279"/>
      <c r="FMC17" s="279"/>
      <c r="FMD17" s="279"/>
      <c r="FME17" s="279"/>
      <c r="FMF17" s="279"/>
      <c r="FMG17" s="279"/>
      <c r="FMH17" s="279"/>
      <c r="FMI17" s="279"/>
      <c r="FMJ17" s="279"/>
      <c r="FMK17" s="279"/>
      <c r="FML17" s="279"/>
      <c r="FMM17" s="279"/>
      <c r="FMN17" s="279"/>
      <c r="FMO17" s="279"/>
      <c r="FMP17" s="279"/>
      <c r="FMQ17" s="279"/>
      <c r="FMR17" s="279"/>
      <c r="FMS17" s="279"/>
      <c r="FMT17" s="279"/>
      <c r="FMU17" s="279"/>
      <c r="FMV17" s="279"/>
      <c r="FMW17" s="279"/>
      <c r="FMX17" s="279"/>
      <c r="FMY17" s="279"/>
      <c r="FMZ17" s="279"/>
      <c r="FNA17" s="279"/>
      <c r="FNB17" s="279"/>
      <c r="FNC17" s="279"/>
      <c r="FND17" s="279"/>
      <c r="FNE17" s="279"/>
      <c r="FNF17" s="279"/>
      <c r="FNG17" s="279"/>
      <c r="FNH17" s="279"/>
      <c r="FNI17" s="279"/>
      <c r="FNJ17" s="279"/>
      <c r="FNK17" s="279"/>
      <c r="FNL17" s="279"/>
      <c r="FNM17" s="279"/>
      <c r="FNN17" s="279"/>
      <c r="FNO17" s="279"/>
      <c r="FNP17" s="279"/>
      <c r="FNQ17" s="279"/>
      <c r="FNR17" s="279"/>
      <c r="FNS17" s="279"/>
      <c r="FNT17" s="279"/>
      <c r="FNU17" s="279"/>
      <c r="FNV17" s="279"/>
      <c r="FNW17" s="279"/>
      <c r="FNX17" s="279"/>
      <c r="FNY17" s="279"/>
      <c r="FNZ17" s="279"/>
      <c r="FOA17" s="279"/>
      <c r="FOB17" s="279"/>
      <c r="FOC17" s="279"/>
      <c r="FOD17" s="279"/>
      <c r="FOE17" s="279"/>
      <c r="FOF17" s="279"/>
      <c r="FOG17" s="279"/>
      <c r="FOH17" s="279"/>
      <c r="FOI17" s="279"/>
      <c r="FOJ17" s="279"/>
      <c r="FOK17" s="279"/>
      <c r="FOL17" s="279"/>
      <c r="FOM17" s="279"/>
      <c r="FON17" s="279"/>
      <c r="FOO17" s="279"/>
      <c r="FOP17" s="279"/>
      <c r="FOQ17" s="279"/>
      <c r="FOR17" s="279"/>
      <c r="FOS17" s="279"/>
      <c r="FOT17" s="279"/>
      <c r="FOU17" s="279"/>
      <c r="FOV17" s="279"/>
      <c r="FOW17" s="279"/>
      <c r="FOX17" s="279"/>
      <c r="FOY17" s="279"/>
      <c r="FOZ17" s="279"/>
      <c r="FPA17" s="279"/>
      <c r="FPB17" s="279"/>
      <c r="FPC17" s="279"/>
      <c r="FPD17" s="279"/>
      <c r="FPE17" s="279"/>
      <c r="FPF17" s="279"/>
      <c r="FPG17" s="279"/>
      <c r="FPH17" s="279"/>
      <c r="FPI17" s="279"/>
      <c r="FPJ17" s="279"/>
      <c r="FPK17" s="279"/>
      <c r="FPL17" s="279"/>
      <c r="FPM17" s="279"/>
      <c r="FPN17" s="279"/>
      <c r="FPO17" s="279"/>
      <c r="FPP17" s="279"/>
      <c r="FPQ17" s="279"/>
      <c r="FPR17" s="279"/>
      <c r="FPS17" s="279"/>
      <c r="FPT17" s="279"/>
      <c r="FPU17" s="279"/>
      <c r="FPV17" s="279"/>
      <c r="FPW17" s="279"/>
      <c r="FPX17" s="279"/>
      <c r="FPY17" s="279"/>
      <c r="FPZ17" s="279"/>
      <c r="FQA17" s="279"/>
      <c r="FQB17" s="279"/>
      <c r="FQC17" s="279"/>
      <c r="FQD17" s="279"/>
      <c r="FQE17" s="279"/>
      <c r="FQF17" s="279"/>
      <c r="FQG17" s="279"/>
      <c r="FQH17" s="279"/>
      <c r="FQI17" s="279"/>
      <c r="FQJ17" s="279"/>
      <c r="FQK17" s="279"/>
      <c r="FQL17" s="279"/>
      <c r="FQM17" s="279"/>
      <c r="FQN17" s="279"/>
      <c r="FQO17" s="279"/>
      <c r="FQP17" s="279"/>
      <c r="FQQ17" s="279"/>
      <c r="FQR17" s="279"/>
      <c r="FQS17" s="279"/>
      <c r="FQT17" s="279"/>
      <c r="FQU17" s="279"/>
      <c r="FQV17" s="279"/>
      <c r="FQW17" s="279"/>
      <c r="FQX17" s="279"/>
      <c r="FQY17" s="279"/>
      <c r="FQZ17" s="279"/>
      <c r="FRA17" s="279"/>
      <c r="FRB17" s="279"/>
      <c r="FRC17" s="279"/>
      <c r="FRD17" s="279"/>
      <c r="FRE17" s="279"/>
      <c r="FRF17" s="279"/>
      <c r="FRG17" s="279"/>
      <c r="FRH17" s="279"/>
      <c r="FRI17" s="279"/>
      <c r="FRJ17" s="279"/>
      <c r="FRK17" s="279"/>
      <c r="FRL17" s="279"/>
      <c r="FRM17" s="279"/>
      <c r="FRN17" s="279"/>
      <c r="FRO17" s="279"/>
      <c r="FRP17" s="279"/>
      <c r="FRQ17" s="279"/>
      <c r="FRR17" s="279"/>
      <c r="FRS17" s="279"/>
      <c r="FRT17" s="279"/>
      <c r="FRU17" s="279"/>
      <c r="FRV17" s="279"/>
      <c r="FRW17" s="279"/>
      <c r="FRX17" s="279"/>
      <c r="FRY17" s="279"/>
      <c r="FRZ17" s="279"/>
      <c r="FSA17" s="279"/>
      <c r="FSB17" s="279"/>
      <c r="FSC17" s="279"/>
      <c r="FSD17" s="279"/>
      <c r="FSE17" s="279"/>
      <c r="FSF17" s="279"/>
      <c r="FSG17" s="279"/>
      <c r="FSH17" s="279"/>
      <c r="FSI17" s="279"/>
      <c r="FSJ17" s="279"/>
      <c r="FSK17" s="279"/>
      <c r="FSL17" s="279"/>
      <c r="FSM17" s="279"/>
      <c r="FSN17" s="279"/>
      <c r="FSO17" s="279"/>
      <c r="FSP17" s="279"/>
      <c r="FSQ17" s="279"/>
      <c r="FSR17" s="279"/>
      <c r="FSS17" s="279"/>
      <c r="FST17" s="279"/>
      <c r="FSU17" s="279"/>
      <c r="FSV17" s="279"/>
      <c r="FSW17" s="279"/>
      <c r="FSX17" s="279"/>
      <c r="FSY17" s="279"/>
      <c r="FSZ17" s="279"/>
      <c r="FTA17" s="279"/>
      <c r="FTB17" s="279"/>
      <c r="FTC17" s="279"/>
      <c r="FTD17" s="279"/>
      <c r="FTE17" s="279"/>
      <c r="FTF17" s="279"/>
      <c r="FTG17" s="279"/>
      <c r="FTH17" s="279"/>
      <c r="FTI17" s="279"/>
      <c r="FTJ17" s="279"/>
      <c r="FTK17" s="279"/>
      <c r="FTL17" s="279"/>
      <c r="FTM17" s="279"/>
      <c r="FTN17" s="279"/>
      <c r="FTO17" s="279"/>
      <c r="FTP17" s="279"/>
      <c r="FTQ17" s="279"/>
      <c r="FTR17" s="279"/>
      <c r="FTS17" s="279"/>
      <c r="FTT17" s="279"/>
      <c r="FTU17" s="279"/>
      <c r="FTV17" s="279"/>
      <c r="FTW17" s="279"/>
      <c r="FTX17" s="279"/>
      <c r="FTY17" s="279"/>
      <c r="FTZ17" s="279"/>
      <c r="FUA17" s="279"/>
      <c r="FUB17" s="279"/>
      <c r="FUC17" s="279"/>
      <c r="FUD17" s="279"/>
      <c r="FUE17" s="279"/>
      <c r="FUF17" s="279"/>
      <c r="FUG17" s="279"/>
      <c r="FUH17" s="279"/>
      <c r="FUI17" s="279"/>
      <c r="FUJ17" s="279"/>
      <c r="FUK17" s="279"/>
      <c r="FUL17" s="279"/>
      <c r="FUM17" s="279"/>
      <c r="FUN17" s="279"/>
      <c r="FUO17" s="279"/>
      <c r="FUP17" s="279"/>
      <c r="FUQ17" s="279"/>
      <c r="FUR17" s="279"/>
      <c r="FUS17" s="279"/>
      <c r="FUT17" s="279"/>
      <c r="FUU17" s="279"/>
      <c r="FUV17" s="279"/>
      <c r="FUW17" s="279"/>
      <c r="FUX17" s="279"/>
      <c r="FUY17" s="279"/>
      <c r="FUZ17" s="279"/>
      <c r="FVA17" s="279"/>
      <c r="FVB17" s="279"/>
      <c r="FVC17" s="279"/>
      <c r="FVD17" s="279"/>
      <c r="FVE17" s="279"/>
      <c r="FVF17" s="279"/>
      <c r="FVG17" s="279"/>
      <c r="FVH17" s="279"/>
      <c r="FVI17" s="279"/>
      <c r="FVJ17" s="279"/>
      <c r="FVK17" s="279"/>
      <c r="FVL17" s="279"/>
      <c r="FVM17" s="279"/>
      <c r="FVN17" s="279"/>
      <c r="FVO17" s="279"/>
      <c r="FVP17" s="279"/>
      <c r="FVQ17" s="279"/>
      <c r="FVR17" s="279"/>
      <c r="FVS17" s="279"/>
      <c r="FVT17" s="279"/>
      <c r="FVU17" s="279"/>
      <c r="FVV17" s="279"/>
      <c r="FVW17" s="279"/>
      <c r="FVX17" s="279"/>
      <c r="FVY17" s="279"/>
      <c r="FVZ17" s="279"/>
      <c r="FWA17" s="279"/>
      <c r="FWB17" s="279"/>
      <c r="FWC17" s="279"/>
      <c r="FWD17" s="279"/>
      <c r="FWE17" s="279"/>
      <c r="FWF17" s="279"/>
      <c r="FWG17" s="279"/>
      <c r="FWH17" s="279"/>
      <c r="FWI17" s="279"/>
      <c r="FWJ17" s="279"/>
      <c r="FWK17" s="279"/>
      <c r="FWL17" s="279"/>
      <c r="FWM17" s="279"/>
      <c r="FWN17" s="279"/>
      <c r="FWO17" s="279"/>
      <c r="FWP17" s="279"/>
      <c r="FWQ17" s="279"/>
      <c r="FWR17" s="279"/>
      <c r="FWS17" s="279"/>
      <c r="FWT17" s="279"/>
      <c r="FWU17" s="279"/>
      <c r="FWV17" s="279"/>
      <c r="FWW17" s="279"/>
      <c r="FWX17" s="279"/>
      <c r="FWY17" s="279"/>
      <c r="FWZ17" s="279"/>
      <c r="FXA17" s="279"/>
      <c r="FXB17" s="279"/>
      <c r="FXC17" s="279"/>
      <c r="FXD17" s="279"/>
      <c r="FXE17" s="279"/>
      <c r="FXF17" s="279"/>
      <c r="FXG17" s="279"/>
      <c r="FXH17" s="279"/>
      <c r="FXI17" s="279"/>
      <c r="FXJ17" s="279"/>
      <c r="FXK17" s="279"/>
      <c r="FXL17" s="279"/>
      <c r="FXM17" s="279"/>
      <c r="FXN17" s="279"/>
      <c r="FXO17" s="279"/>
      <c r="FXP17" s="279"/>
      <c r="FXQ17" s="279"/>
      <c r="FXR17" s="279"/>
      <c r="FXS17" s="279"/>
      <c r="FXT17" s="279"/>
      <c r="FXU17" s="279"/>
      <c r="FXV17" s="279"/>
      <c r="FXW17" s="279"/>
      <c r="FXX17" s="279"/>
      <c r="FXY17" s="279"/>
      <c r="FXZ17" s="279"/>
      <c r="FYA17" s="279"/>
      <c r="FYB17" s="279"/>
      <c r="FYC17" s="279"/>
      <c r="FYD17" s="279"/>
      <c r="FYE17" s="279"/>
      <c r="FYF17" s="279"/>
      <c r="FYG17" s="279"/>
      <c r="FYH17" s="279"/>
      <c r="FYI17" s="279"/>
      <c r="FYJ17" s="279"/>
      <c r="FYK17" s="279"/>
      <c r="FYL17" s="279"/>
      <c r="FYM17" s="279"/>
      <c r="FYN17" s="279"/>
      <c r="FYO17" s="279"/>
      <c r="FYP17" s="279"/>
      <c r="FYQ17" s="279"/>
      <c r="FYR17" s="279"/>
      <c r="FYS17" s="279"/>
      <c r="FYT17" s="279"/>
      <c r="FYU17" s="279"/>
      <c r="FYV17" s="279"/>
      <c r="FYW17" s="279"/>
      <c r="FYX17" s="279"/>
      <c r="FYY17" s="279"/>
      <c r="FYZ17" s="279"/>
      <c r="FZA17" s="279"/>
      <c r="FZB17" s="279"/>
      <c r="FZC17" s="279"/>
      <c r="FZD17" s="279"/>
      <c r="FZE17" s="279"/>
      <c r="FZF17" s="279"/>
      <c r="FZG17" s="279"/>
      <c r="FZH17" s="279"/>
      <c r="FZI17" s="279"/>
      <c r="FZJ17" s="279"/>
      <c r="FZK17" s="279"/>
      <c r="FZL17" s="279"/>
      <c r="FZM17" s="279"/>
      <c r="FZN17" s="279"/>
      <c r="FZO17" s="279"/>
      <c r="FZP17" s="279"/>
      <c r="FZQ17" s="279"/>
      <c r="FZR17" s="279"/>
      <c r="FZS17" s="279"/>
      <c r="FZT17" s="279"/>
      <c r="FZU17" s="279"/>
      <c r="FZV17" s="279"/>
      <c r="FZW17" s="279"/>
      <c r="FZX17" s="279"/>
      <c r="FZY17" s="279"/>
      <c r="FZZ17" s="279"/>
      <c r="GAA17" s="279"/>
      <c r="GAB17" s="279"/>
      <c r="GAC17" s="279"/>
      <c r="GAD17" s="279"/>
      <c r="GAE17" s="279"/>
      <c r="GAF17" s="279"/>
      <c r="GAG17" s="279"/>
      <c r="GAH17" s="279"/>
      <c r="GAI17" s="279"/>
      <c r="GAJ17" s="279"/>
      <c r="GAK17" s="279"/>
      <c r="GAL17" s="279"/>
      <c r="GAM17" s="279"/>
      <c r="GAN17" s="279"/>
      <c r="GAO17" s="279"/>
      <c r="GAP17" s="279"/>
      <c r="GAQ17" s="279"/>
      <c r="GAR17" s="279"/>
      <c r="GAS17" s="279"/>
      <c r="GAT17" s="279"/>
      <c r="GAU17" s="279"/>
      <c r="GAV17" s="279"/>
      <c r="GAW17" s="279"/>
      <c r="GAX17" s="279"/>
      <c r="GAY17" s="279"/>
      <c r="GAZ17" s="279"/>
      <c r="GBA17" s="279"/>
      <c r="GBB17" s="279"/>
      <c r="GBC17" s="279"/>
      <c r="GBD17" s="279"/>
      <c r="GBE17" s="279"/>
      <c r="GBF17" s="279"/>
      <c r="GBG17" s="279"/>
      <c r="GBH17" s="279"/>
      <c r="GBI17" s="279"/>
      <c r="GBJ17" s="279"/>
      <c r="GBK17" s="279"/>
      <c r="GBL17" s="279"/>
      <c r="GBM17" s="279"/>
      <c r="GBN17" s="279"/>
      <c r="GBO17" s="279"/>
      <c r="GBP17" s="279"/>
      <c r="GBQ17" s="279"/>
      <c r="GBR17" s="279"/>
      <c r="GBS17" s="279"/>
      <c r="GBT17" s="279"/>
      <c r="GBU17" s="279"/>
      <c r="GBV17" s="279"/>
      <c r="GBW17" s="279"/>
      <c r="GBX17" s="279"/>
      <c r="GBY17" s="279"/>
      <c r="GBZ17" s="279"/>
      <c r="GCA17" s="279"/>
      <c r="GCB17" s="279"/>
      <c r="GCC17" s="279"/>
      <c r="GCD17" s="279"/>
      <c r="GCE17" s="279"/>
      <c r="GCF17" s="279"/>
      <c r="GCG17" s="279"/>
      <c r="GCH17" s="279"/>
      <c r="GCI17" s="279"/>
      <c r="GCJ17" s="279"/>
      <c r="GCK17" s="279"/>
      <c r="GCL17" s="279"/>
      <c r="GCM17" s="279"/>
      <c r="GCN17" s="279"/>
      <c r="GCO17" s="279"/>
      <c r="GCP17" s="279"/>
      <c r="GCQ17" s="279"/>
      <c r="GCR17" s="279"/>
      <c r="GCS17" s="279"/>
      <c r="GCT17" s="279"/>
      <c r="GCU17" s="279"/>
      <c r="GCV17" s="279"/>
      <c r="GCW17" s="279"/>
      <c r="GCX17" s="279"/>
      <c r="GCY17" s="279"/>
      <c r="GCZ17" s="279"/>
      <c r="GDA17" s="279"/>
      <c r="GDB17" s="279"/>
      <c r="GDC17" s="279"/>
      <c r="GDD17" s="279"/>
      <c r="GDE17" s="279"/>
      <c r="GDF17" s="279"/>
      <c r="GDG17" s="279"/>
      <c r="GDH17" s="279"/>
      <c r="GDI17" s="279"/>
      <c r="GDJ17" s="279"/>
      <c r="GDK17" s="279"/>
      <c r="GDL17" s="279"/>
      <c r="GDM17" s="279"/>
      <c r="GDN17" s="279"/>
      <c r="GDO17" s="279"/>
      <c r="GDP17" s="279"/>
      <c r="GDQ17" s="279"/>
      <c r="GDR17" s="279"/>
      <c r="GDS17" s="279"/>
      <c r="GDT17" s="279"/>
      <c r="GDU17" s="279"/>
      <c r="GDV17" s="279"/>
      <c r="GDW17" s="279"/>
      <c r="GDX17" s="279"/>
      <c r="GDY17" s="279"/>
      <c r="GDZ17" s="279"/>
      <c r="GEA17" s="279"/>
      <c r="GEB17" s="279"/>
      <c r="GEC17" s="279"/>
      <c r="GED17" s="279"/>
      <c r="GEE17" s="279"/>
      <c r="GEF17" s="279"/>
      <c r="GEG17" s="279"/>
      <c r="GEH17" s="279"/>
      <c r="GEI17" s="279"/>
      <c r="GEJ17" s="279"/>
      <c r="GEK17" s="279"/>
      <c r="GEL17" s="279"/>
      <c r="GEM17" s="279"/>
      <c r="GEN17" s="279"/>
      <c r="GEO17" s="279"/>
      <c r="GEP17" s="279"/>
      <c r="GEQ17" s="279"/>
      <c r="GER17" s="279"/>
      <c r="GES17" s="279"/>
      <c r="GET17" s="279"/>
      <c r="GEU17" s="279"/>
      <c r="GEV17" s="279"/>
      <c r="GEW17" s="279"/>
      <c r="GEX17" s="279"/>
      <c r="GEY17" s="279"/>
      <c r="GEZ17" s="279"/>
      <c r="GFA17" s="279"/>
      <c r="GFB17" s="279"/>
      <c r="GFC17" s="279"/>
      <c r="GFD17" s="279"/>
      <c r="GFE17" s="279"/>
      <c r="GFF17" s="279"/>
      <c r="GFG17" s="279"/>
      <c r="GFH17" s="279"/>
      <c r="GFI17" s="279"/>
      <c r="GFJ17" s="279"/>
      <c r="GFK17" s="279"/>
      <c r="GFL17" s="279"/>
      <c r="GFM17" s="279"/>
      <c r="GFN17" s="279"/>
      <c r="GFO17" s="279"/>
      <c r="GFP17" s="279"/>
      <c r="GFQ17" s="279"/>
      <c r="GFR17" s="279"/>
      <c r="GFS17" s="279"/>
      <c r="GFT17" s="279"/>
      <c r="GFU17" s="279"/>
      <c r="GFV17" s="279"/>
      <c r="GFW17" s="279"/>
      <c r="GFX17" s="279"/>
      <c r="GFY17" s="279"/>
      <c r="GFZ17" s="279"/>
      <c r="GGA17" s="279"/>
      <c r="GGB17" s="279"/>
      <c r="GGC17" s="279"/>
      <c r="GGD17" s="279"/>
      <c r="GGE17" s="279"/>
      <c r="GGF17" s="279"/>
      <c r="GGG17" s="279"/>
      <c r="GGH17" s="279"/>
      <c r="GGI17" s="279"/>
      <c r="GGJ17" s="279"/>
      <c r="GGK17" s="279"/>
      <c r="GGL17" s="279"/>
      <c r="GGM17" s="279"/>
      <c r="GGN17" s="279"/>
      <c r="GGO17" s="279"/>
      <c r="GGP17" s="279"/>
      <c r="GGQ17" s="279"/>
      <c r="GGR17" s="279"/>
      <c r="GGS17" s="279"/>
      <c r="GGT17" s="279"/>
      <c r="GGU17" s="279"/>
      <c r="GGV17" s="279"/>
      <c r="GGW17" s="279"/>
      <c r="GGX17" s="279"/>
      <c r="GGY17" s="279"/>
      <c r="GGZ17" s="279"/>
      <c r="GHA17" s="279"/>
      <c r="GHB17" s="279"/>
      <c r="GHC17" s="279"/>
      <c r="GHD17" s="279"/>
      <c r="GHE17" s="279"/>
      <c r="GHF17" s="279"/>
      <c r="GHG17" s="279"/>
      <c r="GHH17" s="279"/>
      <c r="GHI17" s="279"/>
      <c r="GHJ17" s="279"/>
      <c r="GHK17" s="279"/>
      <c r="GHL17" s="279"/>
      <c r="GHM17" s="279"/>
      <c r="GHN17" s="279"/>
      <c r="GHO17" s="279"/>
      <c r="GHP17" s="279"/>
      <c r="GHQ17" s="279"/>
      <c r="GHR17" s="279"/>
      <c r="GHS17" s="279"/>
      <c r="GHT17" s="279"/>
      <c r="GHU17" s="279"/>
      <c r="GHV17" s="279"/>
      <c r="GHW17" s="279"/>
      <c r="GHX17" s="279"/>
      <c r="GHY17" s="279"/>
      <c r="GHZ17" s="279"/>
      <c r="GIA17" s="279"/>
      <c r="GIB17" s="279"/>
      <c r="GIC17" s="279"/>
      <c r="GID17" s="279"/>
      <c r="GIE17" s="279"/>
      <c r="GIF17" s="279"/>
      <c r="GIG17" s="279"/>
      <c r="GIH17" s="279"/>
      <c r="GII17" s="279"/>
      <c r="GIJ17" s="279"/>
      <c r="GIK17" s="279"/>
      <c r="GIL17" s="279"/>
      <c r="GIM17" s="279"/>
      <c r="GIN17" s="279"/>
      <c r="GIO17" s="279"/>
      <c r="GIP17" s="279"/>
      <c r="GIQ17" s="279"/>
      <c r="GIR17" s="279"/>
      <c r="GIS17" s="279"/>
      <c r="GIT17" s="279"/>
      <c r="GIU17" s="279"/>
      <c r="GIV17" s="279"/>
      <c r="GIW17" s="279"/>
      <c r="GIX17" s="279"/>
      <c r="GIY17" s="279"/>
      <c r="GIZ17" s="279"/>
      <c r="GJA17" s="279"/>
      <c r="GJB17" s="279"/>
      <c r="GJC17" s="279"/>
      <c r="GJD17" s="279"/>
      <c r="GJE17" s="279"/>
      <c r="GJF17" s="279"/>
      <c r="GJG17" s="279"/>
      <c r="GJH17" s="279"/>
      <c r="GJI17" s="279"/>
      <c r="GJJ17" s="279"/>
      <c r="GJK17" s="279"/>
      <c r="GJL17" s="279"/>
      <c r="GJM17" s="279"/>
      <c r="GJN17" s="279"/>
      <c r="GJO17" s="279"/>
      <c r="GJP17" s="279"/>
      <c r="GJQ17" s="279"/>
      <c r="GJR17" s="279"/>
      <c r="GJS17" s="279"/>
      <c r="GJT17" s="279"/>
      <c r="GJU17" s="279"/>
      <c r="GJV17" s="279"/>
      <c r="GJW17" s="279"/>
      <c r="GJX17" s="279"/>
      <c r="GJY17" s="279"/>
      <c r="GJZ17" s="279"/>
      <c r="GKA17" s="279"/>
      <c r="GKB17" s="279"/>
      <c r="GKC17" s="279"/>
      <c r="GKD17" s="279"/>
      <c r="GKE17" s="279"/>
      <c r="GKF17" s="279"/>
      <c r="GKG17" s="279"/>
      <c r="GKH17" s="279"/>
      <c r="GKI17" s="279"/>
      <c r="GKJ17" s="279"/>
      <c r="GKK17" s="279"/>
      <c r="GKL17" s="279"/>
      <c r="GKM17" s="279"/>
      <c r="GKN17" s="279"/>
      <c r="GKO17" s="279"/>
      <c r="GKP17" s="279"/>
      <c r="GKQ17" s="279"/>
      <c r="GKR17" s="279"/>
      <c r="GKS17" s="279"/>
      <c r="GKT17" s="279"/>
      <c r="GKU17" s="279"/>
      <c r="GKV17" s="279"/>
      <c r="GKW17" s="279"/>
      <c r="GKX17" s="279"/>
      <c r="GKY17" s="279"/>
      <c r="GKZ17" s="279"/>
      <c r="GLA17" s="279"/>
      <c r="GLB17" s="279"/>
      <c r="GLC17" s="279"/>
      <c r="GLD17" s="279"/>
      <c r="GLE17" s="279"/>
      <c r="GLF17" s="279"/>
      <c r="GLG17" s="279"/>
      <c r="GLH17" s="279"/>
      <c r="GLI17" s="279"/>
      <c r="GLJ17" s="279"/>
      <c r="GLK17" s="279"/>
      <c r="GLL17" s="279"/>
      <c r="GLM17" s="279"/>
      <c r="GLN17" s="279"/>
      <c r="GLO17" s="279"/>
      <c r="GLP17" s="279"/>
      <c r="GLQ17" s="279"/>
      <c r="GLR17" s="279"/>
      <c r="GLS17" s="279"/>
      <c r="GLT17" s="279"/>
      <c r="GLU17" s="279"/>
      <c r="GLV17" s="279"/>
      <c r="GLW17" s="279"/>
      <c r="GLX17" s="279"/>
      <c r="GLY17" s="279"/>
      <c r="GLZ17" s="279"/>
      <c r="GMA17" s="279"/>
      <c r="GMB17" s="279"/>
      <c r="GMC17" s="279"/>
      <c r="GMD17" s="279"/>
      <c r="GME17" s="279"/>
      <c r="GMF17" s="279"/>
      <c r="GMG17" s="279"/>
      <c r="GMH17" s="279"/>
      <c r="GMI17" s="279"/>
      <c r="GMJ17" s="279"/>
      <c r="GMK17" s="279"/>
      <c r="GML17" s="279"/>
      <c r="GMM17" s="279"/>
      <c r="GMN17" s="279"/>
      <c r="GMO17" s="279"/>
      <c r="GMP17" s="279"/>
      <c r="GMQ17" s="279"/>
      <c r="GMR17" s="279"/>
      <c r="GMS17" s="279"/>
      <c r="GMT17" s="279"/>
      <c r="GMU17" s="279"/>
      <c r="GMV17" s="279"/>
      <c r="GMW17" s="279"/>
      <c r="GMX17" s="279"/>
      <c r="GMY17" s="279"/>
      <c r="GMZ17" s="279"/>
      <c r="GNA17" s="279"/>
      <c r="GNB17" s="279"/>
      <c r="GNC17" s="279"/>
      <c r="GND17" s="279"/>
      <c r="GNE17" s="279"/>
      <c r="GNF17" s="279"/>
      <c r="GNG17" s="279"/>
      <c r="GNH17" s="279"/>
      <c r="GNI17" s="279"/>
      <c r="GNJ17" s="279"/>
      <c r="GNK17" s="279"/>
      <c r="GNL17" s="279"/>
      <c r="GNM17" s="279"/>
      <c r="GNN17" s="279"/>
      <c r="GNO17" s="279"/>
      <c r="GNP17" s="279"/>
      <c r="GNQ17" s="279"/>
      <c r="GNR17" s="279"/>
      <c r="GNS17" s="279"/>
      <c r="GNT17" s="279"/>
      <c r="GNU17" s="279"/>
      <c r="GNV17" s="279"/>
      <c r="GNW17" s="279"/>
      <c r="GNX17" s="279"/>
      <c r="GNY17" s="279"/>
      <c r="GNZ17" s="279"/>
      <c r="GOA17" s="279"/>
      <c r="GOB17" s="279"/>
      <c r="GOC17" s="279"/>
      <c r="GOD17" s="279"/>
      <c r="GOE17" s="279"/>
      <c r="GOF17" s="279"/>
      <c r="GOG17" s="279"/>
      <c r="GOH17" s="279"/>
      <c r="GOI17" s="279"/>
      <c r="GOJ17" s="279"/>
      <c r="GOK17" s="279"/>
      <c r="GOL17" s="279"/>
      <c r="GOM17" s="279"/>
      <c r="GON17" s="279"/>
      <c r="GOO17" s="279"/>
      <c r="GOP17" s="279"/>
      <c r="GOQ17" s="279"/>
      <c r="GOR17" s="279"/>
      <c r="GOS17" s="279"/>
      <c r="GOT17" s="279"/>
      <c r="GOU17" s="279"/>
      <c r="GOV17" s="279"/>
      <c r="GOW17" s="279"/>
      <c r="GOX17" s="279"/>
      <c r="GOY17" s="279"/>
      <c r="GOZ17" s="279"/>
      <c r="GPA17" s="279"/>
      <c r="GPB17" s="279"/>
      <c r="GPC17" s="279"/>
      <c r="GPD17" s="279"/>
      <c r="GPE17" s="279"/>
      <c r="GPF17" s="279"/>
      <c r="GPG17" s="279"/>
      <c r="GPH17" s="279"/>
      <c r="GPI17" s="279"/>
      <c r="GPJ17" s="279"/>
      <c r="GPK17" s="279"/>
      <c r="GPL17" s="279"/>
      <c r="GPM17" s="279"/>
      <c r="GPN17" s="279"/>
      <c r="GPO17" s="279"/>
      <c r="GPP17" s="279"/>
      <c r="GPQ17" s="279"/>
      <c r="GPR17" s="279"/>
      <c r="GPS17" s="279"/>
      <c r="GPT17" s="279"/>
      <c r="GPU17" s="279"/>
      <c r="GPV17" s="279"/>
      <c r="GPW17" s="279"/>
      <c r="GPX17" s="279"/>
      <c r="GPY17" s="279"/>
      <c r="GPZ17" s="279"/>
      <c r="GQA17" s="279"/>
      <c r="GQB17" s="279"/>
      <c r="GQC17" s="279"/>
      <c r="GQD17" s="279"/>
      <c r="GQE17" s="279"/>
      <c r="GQF17" s="279"/>
      <c r="GQG17" s="279"/>
      <c r="GQH17" s="279"/>
      <c r="GQI17" s="279"/>
      <c r="GQJ17" s="279"/>
      <c r="GQK17" s="279"/>
      <c r="GQL17" s="279"/>
      <c r="GQM17" s="279"/>
      <c r="GQN17" s="279"/>
      <c r="GQO17" s="279"/>
      <c r="GQP17" s="279"/>
      <c r="GQQ17" s="279"/>
      <c r="GQR17" s="279"/>
      <c r="GQS17" s="279"/>
      <c r="GQT17" s="279"/>
      <c r="GQU17" s="279"/>
      <c r="GQV17" s="279"/>
      <c r="GQW17" s="279"/>
      <c r="GQX17" s="279"/>
      <c r="GQY17" s="279"/>
      <c r="GQZ17" s="279"/>
      <c r="GRA17" s="279"/>
      <c r="GRB17" s="279"/>
      <c r="GRC17" s="279"/>
      <c r="GRD17" s="279"/>
      <c r="GRE17" s="279"/>
      <c r="GRF17" s="279"/>
      <c r="GRG17" s="279"/>
      <c r="GRH17" s="279"/>
      <c r="GRI17" s="279"/>
      <c r="GRJ17" s="279"/>
      <c r="GRK17" s="279"/>
      <c r="GRL17" s="279"/>
      <c r="GRM17" s="279"/>
      <c r="GRN17" s="279"/>
      <c r="GRO17" s="279"/>
      <c r="GRP17" s="279"/>
      <c r="GRQ17" s="279"/>
      <c r="GRR17" s="279"/>
      <c r="GRS17" s="279"/>
      <c r="GRT17" s="279"/>
      <c r="GRU17" s="279"/>
      <c r="GRV17" s="279"/>
      <c r="GRW17" s="279"/>
      <c r="GRX17" s="279"/>
      <c r="GRY17" s="279"/>
      <c r="GRZ17" s="279"/>
      <c r="GSA17" s="279"/>
      <c r="GSB17" s="279"/>
      <c r="GSC17" s="279"/>
      <c r="GSD17" s="279"/>
      <c r="GSE17" s="279"/>
      <c r="GSF17" s="279"/>
      <c r="GSG17" s="279"/>
      <c r="GSH17" s="279"/>
      <c r="GSI17" s="279"/>
      <c r="GSJ17" s="279"/>
      <c r="GSK17" s="279"/>
      <c r="GSL17" s="279"/>
      <c r="GSM17" s="279"/>
      <c r="GSN17" s="279"/>
      <c r="GSO17" s="279"/>
      <c r="GSP17" s="279"/>
      <c r="GSQ17" s="279"/>
      <c r="GSR17" s="279"/>
      <c r="GSS17" s="279"/>
      <c r="GST17" s="279"/>
      <c r="GSU17" s="279"/>
      <c r="GSV17" s="279"/>
      <c r="GSW17" s="279"/>
      <c r="GSX17" s="279"/>
      <c r="GSY17" s="279"/>
      <c r="GSZ17" s="279"/>
      <c r="GTA17" s="279"/>
      <c r="GTB17" s="279"/>
      <c r="GTC17" s="279"/>
      <c r="GTD17" s="279"/>
      <c r="GTE17" s="279"/>
      <c r="GTF17" s="279"/>
      <c r="GTG17" s="279"/>
      <c r="GTH17" s="279"/>
      <c r="GTI17" s="279"/>
      <c r="GTJ17" s="279"/>
      <c r="GTK17" s="279"/>
      <c r="GTL17" s="279"/>
      <c r="GTM17" s="279"/>
      <c r="GTN17" s="279"/>
      <c r="GTO17" s="279"/>
      <c r="GTP17" s="279"/>
      <c r="GTQ17" s="279"/>
      <c r="GTR17" s="279"/>
      <c r="GTS17" s="279"/>
      <c r="GTT17" s="279"/>
      <c r="GTU17" s="279"/>
      <c r="GTV17" s="279"/>
      <c r="GTW17" s="279"/>
      <c r="GTX17" s="279"/>
      <c r="GTY17" s="279"/>
      <c r="GTZ17" s="279"/>
      <c r="GUA17" s="279"/>
      <c r="GUB17" s="279"/>
      <c r="GUC17" s="279"/>
      <c r="GUD17" s="279"/>
      <c r="GUE17" s="279"/>
      <c r="GUF17" s="279"/>
      <c r="GUG17" s="279"/>
      <c r="GUH17" s="279"/>
      <c r="GUI17" s="279"/>
      <c r="GUJ17" s="279"/>
      <c r="GUK17" s="279"/>
      <c r="GUL17" s="279"/>
      <c r="GUM17" s="279"/>
      <c r="GUN17" s="279"/>
      <c r="GUO17" s="279"/>
      <c r="GUP17" s="279"/>
      <c r="GUQ17" s="279"/>
      <c r="GUR17" s="279"/>
      <c r="GUS17" s="279"/>
      <c r="GUT17" s="279"/>
      <c r="GUU17" s="279"/>
      <c r="GUV17" s="279"/>
      <c r="GUW17" s="279"/>
      <c r="GUX17" s="279"/>
      <c r="GUY17" s="279"/>
      <c r="GUZ17" s="279"/>
      <c r="GVA17" s="279"/>
      <c r="GVB17" s="279"/>
      <c r="GVC17" s="279"/>
      <c r="GVD17" s="279"/>
      <c r="GVE17" s="279"/>
      <c r="GVF17" s="279"/>
      <c r="GVG17" s="279"/>
      <c r="GVH17" s="279"/>
      <c r="GVI17" s="279"/>
      <c r="GVJ17" s="279"/>
      <c r="GVK17" s="279"/>
      <c r="GVL17" s="279"/>
      <c r="GVM17" s="279"/>
      <c r="GVN17" s="279"/>
      <c r="GVO17" s="279"/>
      <c r="GVP17" s="279"/>
      <c r="GVQ17" s="279"/>
      <c r="GVR17" s="279"/>
      <c r="GVS17" s="279"/>
      <c r="GVT17" s="279"/>
      <c r="GVU17" s="279"/>
      <c r="GVV17" s="279"/>
      <c r="GVW17" s="279"/>
      <c r="GVX17" s="279"/>
      <c r="GVY17" s="279"/>
      <c r="GVZ17" s="279"/>
      <c r="GWA17" s="279"/>
      <c r="GWB17" s="279"/>
      <c r="GWC17" s="279"/>
      <c r="GWD17" s="279"/>
      <c r="GWE17" s="279"/>
      <c r="GWF17" s="279"/>
      <c r="GWG17" s="279"/>
      <c r="GWH17" s="279"/>
      <c r="GWI17" s="279"/>
      <c r="GWJ17" s="279"/>
      <c r="GWK17" s="279"/>
      <c r="GWL17" s="279"/>
      <c r="GWM17" s="279"/>
      <c r="GWN17" s="279"/>
      <c r="GWO17" s="279"/>
      <c r="GWP17" s="279"/>
      <c r="GWQ17" s="279"/>
      <c r="GWR17" s="279"/>
      <c r="GWS17" s="279"/>
      <c r="GWT17" s="279"/>
      <c r="GWU17" s="279"/>
      <c r="GWV17" s="279"/>
      <c r="GWW17" s="279"/>
      <c r="GWX17" s="279"/>
      <c r="GWY17" s="279"/>
      <c r="GWZ17" s="279"/>
      <c r="GXA17" s="279"/>
      <c r="GXB17" s="279"/>
      <c r="GXC17" s="279"/>
      <c r="GXD17" s="279"/>
      <c r="GXE17" s="279"/>
      <c r="GXF17" s="279"/>
      <c r="GXG17" s="279"/>
      <c r="GXH17" s="279"/>
      <c r="GXI17" s="279"/>
      <c r="GXJ17" s="279"/>
      <c r="GXK17" s="279"/>
      <c r="GXL17" s="279"/>
      <c r="GXM17" s="279"/>
      <c r="GXN17" s="279"/>
      <c r="GXO17" s="279"/>
      <c r="GXP17" s="279"/>
      <c r="GXQ17" s="279"/>
      <c r="GXR17" s="279"/>
      <c r="GXS17" s="279"/>
      <c r="GXT17" s="279"/>
      <c r="GXU17" s="279"/>
      <c r="GXV17" s="279"/>
      <c r="GXW17" s="279"/>
      <c r="GXX17" s="279"/>
      <c r="GXY17" s="279"/>
      <c r="GXZ17" s="279"/>
      <c r="GYA17" s="279"/>
      <c r="GYB17" s="279"/>
      <c r="GYC17" s="279"/>
      <c r="GYD17" s="279"/>
      <c r="GYE17" s="279"/>
      <c r="GYF17" s="279"/>
      <c r="GYG17" s="279"/>
      <c r="GYH17" s="279"/>
      <c r="GYI17" s="279"/>
      <c r="GYJ17" s="279"/>
      <c r="GYK17" s="279"/>
      <c r="GYL17" s="279"/>
      <c r="GYM17" s="279"/>
      <c r="GYN17" s="279"/>
      <c r="GYO17" s="279"/>
      <c r="GYP17" s="279"/>
      <c r="GYQ17" s="279"/>
      <c r="GYR17" s="279"/>
      <c r="GYS17" s="279"/>
      <c r="GYT17" s="279"/>
      <c r="GYU17" s="279"/>
      <c r="GYV17" s="279"/>
      <c r="GYW17" s="279"/>
      <c r="GYX17" s="279"/>
      <c r="GYY17" s="279"/>
      <c r="GYZ17" s="279"/>
      <c r="GZA17" s="279"/>
      <c r="GZB17" s="279"/>
      <c r="GZC17" s="279"/>
      <c r="GZD17" s="279"/>
      <c r="GZE17" s="279"/>
      <c r="GZF17" s="279"/>
      <c r="GZG17" s="279"/>
      <c r="GZH17" s="279"/>
      <c r="GZI17" s="279"/>
      <c r="GZJ17" s="279"/>
      <c r="GZK17" s="279"/>
      <c r="GZL17" s="279"/>
      <c r="GZM17" s="279"/>
      <c r="GZN17" s="279"/>
      <c r="GZO17" s="279"/>
      <c r="GZP17" s="279"/>
      <c r="GZQ17" s="279"/>
      <c r="GZR17" s="279"/>
      <c r="GZS17" s="279"/>
      <c r="GZT17" s="279"/>
      <c r="GZU17" s="279"/>
      <c r="GZV17" s="279"/>
      <c r="GZW17" s="279"/>
      <c r="GZX17" s="279"/>
      <c r="GZY17" s="279"/>
      <c r="GZZ17" s="279"/>
      <c r="HAA17" s="279"/>
      <c r="HAB17" s="279"/>
      <c r="HAC17" s="279"/>
      <c r="HAD17" s="279"/>
      <c r="HAE17" s="279"/>
      <c r="HAF17" s="279"/>
      <c r="HAG17" s="279"/>
      <c r="HAH17" s="279"/>
      <c r="HAI17" s="279"/>
      <c r="HAJ17" s="279"/>
      <c r="HAK17" s="279"/>
      <c r="HAL17" s="279"/>
      <c r="HAM17" s="279"/>
      <c r="HAN17" s="279"/>
      <c r="HAO17" s="279"/>
      <c r="HAP17" s="279"/>
      <c r="HAQ17" s="279"/>
      <c r="HAR17" s="279"/>
      <c r="HAS17" s="279"/>
      <c r="HAT17" s="279"/>
      <c r="HAU17" s="279"/>
      <c r="HAV17" s="279"/>
      <c r="HAW17" s="279"/>
      <c r="HAX17" s="279"/>
      <c r="HAY17" s="279"/>
      <c r="HAZ17" s="279"/>
      <c r="HBA17" s="279"/>
      <c r="HBB17" s="279"/>
      <c r="HBC17" s="279"/>
      <c r="HBD17" s="279"/>
      <c r="HBE17" s="279"/>
      <c r="HBF17" s="279"/>
      <c r="HBG17" s="279"/>
      <c r="HBH17" s="279"/>
      <c r="HBI17" s="279"/>
      <c r="HBJ17" s="279"/>
      <c r="HBK17" s="279"/>
      <c r="HBL17" s="279"/>
      <c r="HBM17" s="279"/>
      <c r="HBN17" s="279"/>
      <c r="HBO17" s="279"/>
      <c r="HBP17" s="279"/>
      <c r="HBQ17" s="279"/>
      <c r="HBR17" s="279"/>
      <c r="HBS17" s="279"/>
      <c r="HBT17" s="279"/>
      <c r="HBU17" s="279"/>
      <c r="HBV17" s="279"/>
      <c r="HBW17" s="279"/>
      <c r="HBX17" s="279"/>
      <c r="HBY17" s="279"/>
      <c r="HBZ17" s="279"/>
      <c r="HCA17" s="279"/>
      <c r="HCB17" s="279"/>
      <c r="HCC17" s="279"/>
      <c r="HCD17" s="279"/>
      <c r="HCE17" s="279"/>
      <c r="HCF17" s="279"/>
      <c r="HCG17" s="279"/>
      <c r="HCH17" s="279"/>
      <c r="HCI17" s="279"/>
      <c r="HCJ17" s="279"/>
      <c r="HCK17" s="279"/>
      <c r="HCL17" s="279"/>
      <c r="HCM17" s="279"/>
      <c r="HCN17" s="279"/>
      <c r="HCO17" s="279"/>
      <c r="HCP17" s="279"/>
      <c r="HCQ17" s="279"/>
      <c r="HCR17" s="279"/>
      <c r="HCS17" s="279"/>
      <c r="HCT17" s="279"/>
      <c r="HCU17" s="279"/>
      <c r="HCV17" s="279"/>
      <c r="HCW17" s="279"/>
      <c r="HCX17" s="279"/>
      <c r="HCY17" s="279"/>
      <c r="HCZ17" s="279"/>
      <c r="HDA17" s="279"/>
      <c r="HDB17" s="279"/>
      <c r="HDC17" s="279"/>
      <c r="HDD17" s="279"/>
      <c r="HDE17" s="279"/>
      <c r="HDF17" s="279"/>
      <c r="HDG17" s="279"/>
      <c r="HDH17" s="279"/>
      <c r="HDI17" s="279"/>
      <c r="HDJ17" s="279"/>
      <c r="HDK17" s="279"/>
      <c r="HDL17" s="279"/>
      <c r="HDM17" s="279"/>
      <c r="HDN17" s="279"/>
      <c r="HDO17" s="279"/>
      <c r="HDP17" s="279"/>
      <c r="HDQ17" s="279"/>
      <c r="HDR17" s="279"/>
      <c r="HDS17" s="279"/>
      <c r="HDT17" s="279"/>
      <c r="HDU17" s="279"/>
      <c r="HDV17" s="279"/>
      <c r="HDW17" s="279"/>
      <c r="HDX17" s="279"/>
      <c r="HDY17" s="279"/>
      <c r="HDZ17" s="279"/>
      <c r="HEA17" s="279"/>
      <c r="HEB17" s="279"/>
      <c r="HEC17" s="279"/>
      <c r="HED17" s="279"/>
      <c r="HEE17" s="279"/>
      <c r="HEF17" s="279"/>
      <c r="HEG17" s="279"/>
      <c r="HEH17" s="279"/>
      <c r="HEI17" s="279"/>
      <c r="HEJ17" s="279"/>
      <c r="HEK17" s="279"/>
      <c r="HEL17" s="279"/>
      <c r="HEM17" s="279"/>
      <c r="HEN17" s="279"/>
      <c r="HEO17" s="279"/>
      <c r="HEP17" s="279"/>
      <c r="HEQ17" s="279"/>
      <c r="HER17" s="279"/>
      <c r="HES17" s="279"/>
      <c r="HET17" s="279"/>
      <c r="HEU17" s="279"/>
      <c r="HEV17" s="279"/>
      <c r="HEW17" s="279"/>
      <c r="HEX17" s="279"/>
      <c r="HEY17" s="279"/>
      <c r="HEZ17" s="279"/>
      <c r="HFA17" s="279"/>
      <c r="HFB17" s="279"/>
      <c r="HFC17" s="279"/>
      <c r="HFD17" s="279"/>
      <c r="HFE17" s="279"/>
      <c r="HFF17" s="279"/>
      <c r="HFG17" s="279"/>
      <c r="HFH17" s="279"/>
      <c r="HFI17" s="279"/>
      <c r="HFJ17" s="279"/>
      <c r="HFK17" s="279"/>
      <c r="HFL17" s="279"/>
      <c r="HFM17" s="279"/>
      <c r="HFN17" s="279"/>
      <c r="HFO17" s="279"/>
      <c r="HFP17" s="279"/>
      <c r="HFQ17" s="279"/>
      <c r="HFR17" s="279"/>
      <c r="HFS17" s="279"/>
      <c r="HFT17" s="279"/>
      <c r="HFU17" s="279"/>
      <c r="HFV17" s="279"/>
      <c r="HFW17" s="279"/>
      <c r="HFX17" s="279"/>
      <c r="HFY17" s="279"/>
      <c r="HFZ17" s="279"/>
      <c r="HGA17" s="279"/>
      <c r="HGB17" s="279"/>
      <c r="HGC17" s="279"/>
      <c r="HGD17" s="279"/>
      <c r="HGE17" s="279"/>
      <c r="HGF17" s="279"/>
      <c r="HGG17" s="279"/>
      <c r="HGH17" s="279"/>
      <c r="HGI17" s="279"/>
      <c r="HGJ17" s="279"/>
      <c r="HGK17" s="279"/>
      <c r="HGL17" s="279"/>
      <c r="HGM17" s="279"/>
      <c r="HGN17" s="279"/>
      <c r="HGO17" s="279"/>
      <c r="HGP17" s="279"/>
      <c r="HGQ17" s="279"/>
      <c r="HGR17" s="279"/>
      <c r="HGS17" s="279"/>
      <c r="HGT17" s="279"/>
      <c r="HGU17" s="279"/>
      <c r="HGV17" s="279"/>
      <c r="HGW17" s="279"/>
      <c r="HGX17" s="279"/>
      <c r="HGY17" s="279"/>
      <c r="HGZ17" s="279"/>
      <c r="HHA17" s="279"/>
      <c r="HHB17" s="279"/>
      <c r="HHC17" s="279"/>
      <c r="HHD17" s="279"/>
      <c r="HHE17" s="279"/>
      <c r="HHF17" s="279"/>
      <c r="HHG17" s="279"/>
      <c r="HHH17" s="279"/>
      <c r="HHI17" s="279"/>
      <c r="HHJ17" s="279"/>
      <c r="HHK17" s="279"/>
      <c r="HHL17" s="279"/>
      <c r="HHM17" s="279"/>
      <c r="HHN17" s="279"/>
      <c r="HHO17" s="279"/>
      <c r="HHP17" s="279"/>
      <c r="HHQ17" s="279"/>
      <c r="HHR17" s="279"/>
      <c r="HHS17" s="279"/>
      <c r="HHT17" s="279"/>
      <c r="HHU17" s="279"/>
      <c r="HHV17" s="279"/>
      <c r="HHW17" s="279"/>
      <c r="HHX17" s="279"/>
      <c r="HHY17" s="279"/>
      <c r="HHZ17" s="279"/>
      <c r="HIA17" s="279"/>
      <c r="HIB17" s="279"/>
      <c r="HIC17" s="279"/>
      <c r="HID17" s="279"/>
      <c r="HIE17" s="279"/>
      <c r="HIF17" s="279"/>
      <c r="HIG17" s="279"/>
      <c r="HIH17" s="279"/>
      <c r="HII17" s="279"/>
      <c r="HIJ17" s="279"/>
      <c r="HIK17" s="279"/>
      <c r="HIL17" s="279"/>
      <c r="HIM17" s="279"/>
      <c r="HIN17" s="279"/>
      <c r="HIO17" s="279"/>
      <c r="HIP17" s="279"/>
      <c r="HIQ17" s="279"/>
      <c r="HIR17" s="279"/>
      <c r="HIS17" s="279"/>
      <c r="HIT17" s="279"/>
      <c r="HIU17" s="279"/>
      <c r="HIV17" s="279"/>
      <c r="HIW17" s="279"/>
      <c r="HIX17" s="279"/>
      <c r="HIY17" s="279"/>
      <c r="HIZ17" s="279"/>
      <c r="HJA17" s="279"/>
      <c r="HJB17" s="279"/>
      <c r="HJC17" s="279"/>
      <c r="HJD17" s="279"/>
      <c r="HJE17" s="279"/>
      <c r="HJF17" s="279"/>
      <c r="HJG17" s="279"/>
      <c r="HJH17" s="279"/>
      <c r="HJI17" s="279"/>
      <c r="HJJ17" s="279"/>
      <c r="HJK17" s="279"/>
      <c r="HJL17" s="279"/>
      <c r="HJM17" s="279"/>
      <c r="HJN17" s="279"/>
      <c r="HJO17" s="279"/>
      <c r="HJP17" s="279"/>
      <c r="HJQ17" s="279"/>
      <c r="HJR17" s="279"/>
      <c r="HJS17" s="279"/>
      <c r="HJT17" s="279"/>
      <c r="HJU17" s="279"/>
      <c r="HJV17" s="279"/>
      <c r="HJW17" s="279"/>
      <c r="HJX17" s="279"/>
      <c r="HJY17" s="279"/>
      <c r="HJZ17" s="279"/>
      <c r="HKA17" s="279"/>
      <c r="HKB17" s="279"/>
      <c r="HKC17" s="279"/>
      <c r="HKD17" s="279"/>
      <c r="HKE17" s="279"/>
      <c r="HKF17" s="279"/>
      <c r="HKG17" s="279"/>
      <c r="HKH17" s="279"/>
      <c r="HKI17" s="279"/>
      <c r="HKJ17" s="279"/>
      <c r="HKK17" s="279"/>
      <c r="HKL17" s="279"/>
      <c r="HKM17" s="279"/>
      <c r="HKN17" s="279"/>
      <c r="HKO17" s="279"/>
      <c r="HKP17" s="279"/>
      <c r="HKQ17" s="279"/>
      <c r="HKR17" s="279"/>
      <c r="HKS17" s="279"/>
      <c r="HKT17" s="279"/>
      <c r="HKU17" s="279"/>
      <c r="HKV17" s="279"/>
      <c r="HKW17" s="279"/>
      <c r="HKX17" s="279"/>
      <c r="HKY17" s="279"/>
      <c r="HKZ17" s="279"/>
      <c r="HLA17" s="279"/>
      <c r="HLB17" s="279"/>
      <c r="HLC17" s="279"/>
      <c r="HLD17" s="279"/>
      <c r="HLE17" s="279"/>
      <c r="HLF17" s="279"/>
      <c r="HLG17" s="279"/>
      <c r="HLH17" s="279"/>
      <c r="HLI17" s="279"/>
      <c r="HLJ17" s="279"/>
      <c r="HLK17" s="279"/>
      <c r="HLL17" s="279"/>
      <c r="HLM17" s="279"/>
      <c r="HLN17" s="279"/>
      <c r="HLO17" s="279"/>
      <c r="HLP17" s="279"/>
      <c r="HLQ17" s="279"/>
      <c r="HLR17" s="279"/>
      <c r="HLS17" s="279"/>
      <c r="HLT17" s="279"/>
      <c r="HLU17" s="279"/>
      <c r="HLV17" s="279"/>
      <c r="HLW17" s="279"/>
      <c r="HLX17" s="279"/>
      <c r="HLY17" s="279"/>
      <c r="HLZ17" s="279"/>
      <c r="HMA17" s="279"/>
      <c r="HMB17" s="279"/>
      <c r="HMC17" s="279"/>
      <c r="HMD17" s="279"/>
      <c r="HME17" s="279"/>
      <c r="HMF17" s="279"/>
      <c r="HMG17" s="279"/>
      <c r="HMH17" s="279"/>
      <c r="HMI17" s="279"/>
      <c r="HMJ17" s="279"/>
      <c r="HMK17" s="279"/>
      <c r="HML17" s="279"/>
      <c r="HMM17" s="279"/>
      <c r="HMN17" s="279"/>
      <c r="HMO17" s="279"/>
      <c r="HMP17" s="279"/>
      <c r="HMQ17" s="279"/>
      <c r="HMR17" s="279"/>
      <c r="HMS17" s="279"/>
      <c r="HMT17" s="279"/>
      <c r="HMU17" s="279"/>
      <c r="HMV17" s="279"/>
      <c r="HMW17" s="279"/>
      <c r="HMX17" s="279"/>
      <c r="HMY17" s="279"/>
      <c r="HMZ17" s="279"/>
      <c r="HNA17" s="279"/>
      <c r="HNB17" s="279"/>
      <c r="HNC17" s="279"/>
      <c r="HND17" s="279"/>
      <c r="HNE17" s="279"/>
      <c r="HNF17" s="279"/>
      <c r="HNG17" s="279"/>
      <c r="HNH17" s="279"/>
      <c r="HNI17" s="279"/>
      <c r="HNJ17" s="279"/>
      <c r="HNK17" s="279"/>
      <c r="HNL17" s="279"/>
      <c r="HNM17" s="279"/>
      <c r="HNN17" s="279"/>
      <c r="HNO17" s="279"/>
      <c r="HNP17" s="279"/>
      <c r="HNQ17" s="279"/>
      <c r="HNR17" s="279"/>
      <c r="HNS17" s="279"/>
      <c r="HNT17" s="279"/>
      <c r="HNU17" s="279"/>
      <c r="HNV17" s="279"/>
      <c r="HNW17" s="279"/>
      <c r="HNX17" s="279"/>
      <c r="HNY17" s="279"/>
      <c r="HNZ17" s="279"/>
      <c r="HOA17" s="279"/>
      <c r="HOB17" s="279"/>
      <c r="HOC17" s="279"/>
      <c r="HOD17" s="279"/>
      <c r="HOE17" s="279"/>
      <c r="HOF17" s="279"/>
      <c r="HOG17" s="279"/>
      <c r="HOH17" s="279"/>
      <c r="HOI17" s="279"/>
      <c r="HOJ17" s="279"/>
      <c r="HOK17" s="279"/>
      <c r="HOL17" s="279"/>
      <c r="HOM17" s="279"/>
      <c r="HON17" s="279"/>
      <c r="HOO17" s="279"/>
      <c r="HOP17" s="279"/>
      <c r="HOQ17" s="279"/>
      <c r="HOR17" s="279"/>
      <c r="HOS17" s="279"/>
      <c r="HOT17" s="279"/>
      <c r="HOU17" s="279"/>
      <c r="HOV17" s="279"/>
      <c r="HOW17" s="279"/>
      <c r="HOX17" s="279"/>
      <c r="HOY17" s="279"/>
      <c r="HOZ17" s="279"/>
      <c r="HPA17" s="279"/>
      <c r="HPB17" s="279"/>
      <c r="HPC17" s="279"/>
      <c r="HPD17" s="279"/>
      <c r="HPE17" s="279"/>
      <c r="HPF17" s="279"/>
      <c r="HPG17" s="279"/>
      <c r="HPH17" s="279"/>
      <c r="HPI17" s="279"/>
      <c r="HPJ17" s="279"/>
      <c r="HPK17" s="279"/>
      <c r="HPL17" s="279"/>
      <c r="HPM17" s="279"/>
      <c r="HPN17" s="279"/>
      <c r="HPO17" s="279"/>
      <c r="HPP17" s="279"/>
      <c r="HPQ17" s="279"/>
      <c r="HPR17" s="279"/>
      <c r="HPS17" s="279"/>
      <c r="HPT17" s="279"/>
      <c r="HPU17" s="279"/>
      <c r="HPV17" s="279"/>
      <c r="HPW17" s="279"/>
      <c r="HPX17" s="279"/>
      <c r="HPY17" s="279"/>
      <c r="HPZ17" s="279"/>
      <c r="HQA17" s="279"/>
      <c r="HQB17" s="279"/>
      <c r="HQC17" s="279"/>
      <c r="HQD17" s="279"/>
      <c r="HQE17" s="279"/>
      <c r="HQF17" s="279"/>
      <c r="HQG17" s="279"/>
      <c r="HQH17" s="279"/>
      <c r="HQI17" s="279"/>
      <c r="HQJ17" s="279"/>
      <c r="HQK17" s="279"/>
      <c r="HQL17" s="279"/>
      <c r="HQM17" s="279"/>
      <c r="HQN17" s="279"/>
      <c r="HQO17" s="279"/>
      <c r="HQP17" s="279"/>
      <c r="HQQ17" s="279"/>
      <c r="HQR17" s="279"/>
      <c r="HQS17" s="279"/>
      <c r="HQT17" s="279"/>
      <c r="HQU17" s="279"/>
      <c r="HQV17" s="279"/>
      <c r="HQW17" s="279"/>
      <c r="HQX17" s="279"/>
      <c r="HQY17" s="279"/>
      <c r="HQZ17" s="279"/>
      <c r="HRA17" s="279"/>
      <c r="HRB17" s="279"/>
      <c r="HRC17" s="279"/>
      <c r="HRD17" s="279"/>
      <c r="HRE17" s="279"/>
      <c r="HRF17" s="279"/>
      <c r="HRG17" s="279"/>
      <c r="HRH17" s="279"/>
      <c r="HRI17" s="279"/>
      <c r="HRJ17" s="279"/>
      <c r="HRK17" s="279"/>
      <c r="HRL17" s="279"/>
      <c r="HRM17" s="279"/>
      <c r="HRN17" s="279"/>
      <c r="HRO17" s="279"/>
      <c r="HRP17" s="279"/>
      <c r="HRQ17" s="279"/>
      <c r="HRR17" s="279"/>
      <c r="HRS17" s="279"/>
      <c r="HRT17" s="279"/>
      <c r="HRU17" s="279"/>
      <c r="HRV17" s="279"/>
      <c r="HRW17" s="279"/>
      <c r="HRX17" s="279"/>
      <c r="HRY17" s="279"/>
      <c r="HRZ17" s="279"/>
      <c r="HSA17" s="279"/>
      <c r="HSB17" s="279"/>
      <c r="HSC17" s="279"/>
      <c r="HSD17" s="279"/>
      <c r="HSE17" s="279"/>
      <c r="HSF17" s="279"/>
      <c r="HSG17" s="279"/>
      <c r="HSH17" s="279"/>
      <c r="HSI17" s="279"/>
      <c r="HSJ17" s="279"/>
      <c r="HSK17" s="279"/>
      <c r="HSL17" s="279"/>
      <c r="HSM17" s="279"/>
      <c r="HSN17" s="279"/>
      <c r="HSO17" s="279"/>
      <c r="HSP17" s="279"/>
      <c r="HSQ17" s="279"/>
      <c r="HSR17" s="279"/>
      <c r="HSS17" s="279"/>
      <c r="HST17" s="279"/>
      <c r="HSU17" s="279"/>
      <c r="HSV17" s="279"/>
      <c r="HSW17" s="279"/>
      <c r="HSX17" s="279"/>
      <c r="HSY17" s="279"/>
      <c r="HSZ17" s="279"/>
      <c r="HTA17" s="279"/>
      <c r="HTB17" s="279"/>
      <c r="HTC17" s="279"/>
      <c r="HTD17" s="279"/>
      <c r="HTE17" s="279"/>
      <c r="HTF17" s="279"/>
      <c r="HTG17" s="279"/>
      <c r="HTH17" s="279"/>
      <c r="HTI17" s="279"/>
      <c r="HTJ17" s="279"/>
      <c r="HTK17" s="279"/>
      <c r="HTL17" s="279"/>
      <c r="HTM17" s="279"/>
      <c r="HTN17" s="279"/>
      <c r="HTO17" s="279"/>
      <c r="HTP17" s="279"/>
      <c r="HTQ17" s="279"/>
      <c r="HTR17" s="279"/>
      <c r="HTS17" s="279"/>
      <c r="HTT17" s="279"/>
      <c r="HTU17" s="279"/>
      <c r="HTV17" s="279"/>
      <c r="HTW17" s="279"/>
      <c r="HTX17" s="279"/>
      <c r="HTY17" s="279"/>
      <c r="HTZ17" s="279"/>
      <c r="HUA17" s="279"/>
      <c r="HUB17" s="279"/>
      <c r="HUC17" s="279"/>
      <c r="HUD17" s="279"/>
      <c r="HUE17" s="279"/>
      <c r="HUF17" s="279"/>
      <c r="HUG17" s="279"/>
      <c r="HUH17" s="279"/>
      <c r="HUI17" s="279"/>
      <c r="HUJ17" s="279"/>
      <c r="HUK17" s="279"/>
      <c r="HUL17" s="279"/>
      <c r="HUM17" s="279"/>
      <c r="HUN17" s="279"/>
      <c r="HUO17" s="279"/>
      <c r="HUP17" s="279"/>
      <c r="HUQ17" s="279"/>
      <c r="HUR17" s="279"/>
      <c r="HUS17" s="279"/>
      <c r="HUT17" s="279"/>
      <c r="HUU17" s="279"/>
      <c r="HUV17" s="279"/>
      <c r="HUW17" s="279"/>
      <c r="HUX17" s="279"/>
      <c r="HUY17" s="279"/>
      <c r="HUZ17" s="279"/>
      <c r="HVA17" s="279"/>
      <c r="HVB17" s="279"/>
      <c r="HVC17" s="279"/>
      <c r="HVD17" s="279"/>
      <c r="HVE17" s="279"/>
      <c r="HVF17" s="279"/>
      <c r="HVG17" s="279"/>
      <c r="HVH17" s="279"/>
      <c r="HVI17" s="279"/>
      <c r="HVJ17" s="279"/>
      <c r="HVK17" s="279"/>
      <c r="HVL17" s="279"/>
      <c r="HVM17" s="279"/>
      <c r="HVN17" s="279"/>
      <c r="HVO17" s="279"/>
      <c r="HVP17" s="279"/>
      <c r="HVQ17" s="279"/>
      <c r="HVR17" s="279"/>
      <c r="HVS17" s="279"/>
      <c r="HVT17" s="279"/>
      <c r="HVU17" s="279"/>
      <c r="HVV17" s="279"/>
      <c r="HVW17" s="279"/>
      <c r="HVX17" s="279"/>
      <c r="HVY17" s="279"/>
      <c r="HVZ17" s="279"/>
      <c r="HWA17" s="279"/>
      <c r="HWB17" s="279"/>
      <c r="HWC17" s="279"/>
      <c r="HWD17" s="279"/>
      <c r="HWE17" s="279"/>
      <c r="HWF17" s="279"/>
      <c r="HWG17" s="279"/>
      <c r="HWH17" s="279"/>
      <c r="HWI17" s="279"/>
      <c r="HWJ17" s="279"/>
      <c r="HWK17" s="279"/>
      <c r="HWL17" s="279"/>
      <c r="HWM17" s="279"/>
      <c r="HWN17" s="279"/>
      <c r="HWO17" s="279"/>
      <c r="HWP17" s="279"/>
      <c r="HWQ17" s="279"/>
      <c r="HWR17" s="279"/>
      <c r="HWS17" s="279"/>
      <c r="HWT17" s="279"/>
      <c r="HWU17" s="279"/>
      <c r="HWV17" s="279"/>
      <c r="HWW17" s="279"/>
      <c r="HWX17" s="279"/>
      <c r="HWY17" s="279"/>
      <c r="HWZ17" s="279"/>
      <c r="HXA17" s="279"/>
      <c r="HXB17" s="279"/>
      <c r="HXC17" s="279"/>
      <c r="HXD17" s="279"/>
      <c r="HXE17" s="279"/>
      <c r="HXF17" s="279"/>
      <c r="HXG17" s="279"/>
      <c r="HXH17" s="279"/>
      <c r="HXI17" s="279"/>
      <c r="HXJ17" s="279"/>
      <c r="HXK17" s="279"/>
      <c r="HXL17" s="279"/>
      <c r="HXM17" s="279"/>
      <c r="HXN17" s="279"/>
      <c r="HXO17" s="279"/>
      <c r="HXP17" s="279"/>
      <c r="HXQ17" s="279"/>
      <c r="HXR17" s="279"/>
      <c r="HXS17" s="279"/>
      <c r="HXT17" s="279"/>
      <c r="HXU17" s="279"/>
      <c r="HXV17" s="279"/>
      <c r="HXW17" s="279"/>
      <c r="HXX17" s="279"/>
      <c r="HXY17" s="279"/>
      <c r="HXZ17" s="279"/>
      <c r="HYA17" s="279"/>
      <c r="HYB17" s="279"/>
      <c r="HYC17" s="279"/>
      <c r="HYD17" s="279"/>
      <c r="HYE17" s="279"/>
      <c r="HYF17" s="279"/>
      <c r="HYG17" s="279"/>
      <c r="HYH17" s="279"/>
      <c r="HYI17" s="279"/>
      <c r="HYJ17" s="279"/>
      <c r="HYK17" s="279"/>
      <c r="HYL17" s="279"/>
      <c r="HYM17" s="279"/>
      <c r="HYN17" s="279"/>
      <c r="HYO17" s="279"/>
      <c r="HYP17" s="279"/>
      <c r="HYQ17" s="279"/>
      <c r="HYR17" s="279"/>
      <c r="HYS17" s="279"/>
      <c r="HYT17" s="279"/>
      <c r="HYU17" s="279"/>
      <c r="HYV17" s="279"/>
      <c r="HYW17" s="279"/>
      <c r="HYX17" s="279"/>
      <c r="HYY17" s="279"/>
      <c r="HYZ17" s="279"/>
      <c r="HZA17" s="279"/>
      <c r="HZB17" s="279"/>
      <c r="HZC17" s="279"/>
      <c r="HZD17" s="279"/>
      <c r="HZE17" s="279"/>
      <c r="HZF17" s="279"/>
      <c r="HZG17" s="279"/>
      <c r="HZH17" s="279"/>
      <c r="HZI17" s="279"/>
      <c r="HZJ17" s="279"/>
      <c r="HZK17" s="279"/>
      <c r="HZL17" s="279"/>
      <c r="HZM17" s="279"/>
      <c r="HZN17" s="279"/>
      <c r="HZO17" s="279"/>
      <c r="HZP17" s="279"/>
      <c r="HZQ17" s="279"/>
      <c r="HZR17" s="279"/>
      <c r="HZS17" s="279"/>
      <c r="HZT17" s="279"/>
      <c r="HZU17" s="279"/>
      <c r="HZV17" s="279"/>
      <c r="HZW17" s="279"/>
      <c r="HZX17" s="279"/>
      <c r="HZY17" s="279"/>
      <c r="HZZ17" s="279"/>
      <c r="IAA17" s="279"/>
      <c r="IAB17" s="279"/>
      <c r="IAC17" s="279"/>
      <c r="IAD17" s="279"/>
      <c r="IAE17" s="279"/>
      <c r="IAF17" s="279"/>
      <c r="IAG17" s="279"/>
      <c r="IAH17" s="279"/>
    </row>
    <row r="18" spans="2:6118" ht="21.75" customHeight="1">
      <c r="B18" s="89" t="s">
        <v>37</v>
      </c>
      <c r="C18" s="34" t="s">
        <v>39</v>
      </c>
      <c r="D18" s="32" t="s">
        <v>76</v>
      </c>
      <c r="E18" s="32" t="s">
        <v>59</v>
      </c>
      <c r="F18" s="92" t="s">
        <v>390</v>
      </c>
      <c r="G18" s="92"/>
      <c r="H18" s="279">
        <f t="shared" ref="H18:J18" si="0">SUM(H16:H17)</f>
        <v>18</v>
      </c>
      <c r="I18" s="279">
        <f t="shared" si="0"/>
        <v>18</v>
      </c>
      <c r="J18" s="279">
        <f t="shared" si="0"/>
        <v>18</v>
      </c>
      <c r="K18" s="92"/>
      <c r="L18" s="108" t="s">
        <v>144</v>
      </c>
      <c r="M18" s="108"/>
      <c r="N18" s="110"/>
      <c r="O18" s="110"/>
      <c r="P18" s="92"/>
      <c r="Q18" s="279">
        <f>SUM(Q16:Q17)</f>
        <v>20</v>
      </c>
      <c r="R18" s="279">
        <f t="shared" ref="R18:S18" si="1">SUM(R16:R17)</f>
        <v>20</v>
      </c>
      <c r="S18" s="279">
        <f t="shared" si="1"/>
        <v>20</v>
      </c>
      <c r="T18" s="277"/>
      <c r="U18" s="277" t="s">
        <v>101</v>
      </c>
      <c r="V18" s="277" t="s">
        <v>203</v>
      </c>
      <c r="W18" s="277" t="s">
        <v>193</v>
      </c>
      <c r="X18" s="277" t="s">
        <v>193</v>
      </c>
      <c r="Y18" s="277"/>
      <c r="Z18" s="279">
        <f>SUM(Z16:Z17)</f>
        <v>14.25</v>
      </c>
      <c r="AA18" s="279">
        <f t="shared" ref="AA18:AB18" si="2">SUM(AA16:AA17)</f>
        <v>14.25</v>
      </c>
      <c r="AB18" s="279">
        <f t="shared" si="2"/>
        <v>14.25</v>
      </c>
      <c r="AC18" s="255"/>
      <c r="AI18" s="279">
        <f>SUM(AI16:AI17)</f>
        <v>12</v>
      </c>
      <c r="AJ18" s="279">
        <f t="shared" ref="AJ18:AK18" si="3">SUM(AJ16:AJ17)</f>
        <v>12</v>
      </c>
      <c r="AK18" s="279">
        <f t="shared" si="3"/>
        <v>12</v>
      </c>
      <c r="AM18" s="277" t="s">
        <v>101</v>
      </c>
      <c r="AN18" s="277" t="s">
        <v>203</v>
      </c>
      <c r="AO18" s="277" t="s">
        <v>193</v>
      </c>
      <c r="AP18" s="277" t="s">
        <v>193</v>
      </c>
      <c r="AR18" s="279">
        <f>SUM(AR16:AR17)</f>
        <v>21</v>
      </c>
      <c r="AS18" s="279">
        <f t="shared" ref="AS18:AT18" si="4">SUM(AS16:AS17)</f>
        <v>21</v>
      </c>
      <c r="AT18" s="279">
        <f t="shared" si="4"/>
        <v>21</v>
      </c>
      <c r="AV18" s="108"/>
      <c r="AW18" s="109"/>
      <c r="AX18" s="109"/>
      <c r="AY18" s="109"/>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row>
    <row r="19" spans="2:6118" s="277" customFormat="1" ht="21.75" customHeight="1">
      <c r="B19" s="89" t="s">
        <v>37</v>
      </c>
      <c r="C19" s="34" t="s">
        <v>658</v>
      </c>
      <c r="D19" s="32" t="s">
        <v>659</v>
      </c>
      <c r="E19" s="32"/>
      <c r="F19" s="92" t="s">
        <v>660</v>
      </c>
      <c r="G19" s="92"/>
      <c r="H19" s="279">
        <v>0</v>
      </c>
      <c r="I19" s="279">
        <v>0</v>
      </c>
      <c r="J19" s="279">
        <v>0</v>
      </c>
      <c r="K19" s="92"/>
      <c r="L19" s="103"/>
      <c r="M19" s="103"/>
      <c r="N19" s="103"/>
      <c r="O19" s="103"/>
      <c r="P19" s="92"/>
      <c r="Q19" s="279">
        <v>1</v>
      </c>
      <c r="R19" s="279">
        <v>1</v>
      </c>
      <c r="S19" s="279">
        <v>1</v>
      </c>
      <c r="Z19" s="279">
        <v>1</v>
      </c>
      <c r="AA19" s="279">
        <v>1</v>
      </c>
      <c r="AB19" s="279">
        <v>1</v>
      </c>
      <c r="AC19" s="255"/>
      <c r="AI19" s="279">
        <v>0</v>
      </c>
      <c r="AJ19" s="279">
        <v>0</v>
      </c>
      <c r="AK19" s="279">
        <v>0</v>
      </c>
      <c r="AR19" s="279">
        <v>0</v>
      </c>
      <c r="AS19" s="279">
        <v>0</v>
      </c>
      <c r="AT19" s="279">
        <v>0</v>
      </c>
      <c r="AV19" s="103"/>
      <c r="AW19" s="217"/>
      <c r="AX19" s="217"/>
      <c r="AY19" s="217"/>
    </row>
    <row r="20" spans="2:6118">
      <c r="F20" s="183"/>
      <c r="G20" s="183"/>
      <c r="H20" s="277"/>
      <c r="I20" s="277"/>
      <c r="J20" s="277"/>
      <c r="K20" s="183"/>
      <c r="L20" s="184"/>
      <c r="M20" s="183"/>
      <c r="N20" s="183"/>
      <c r="O20" s="183"/>
      <c r="P20" s="183"/>
      <c r="Q20" s="277"/>
      <c r="R20" s="277"/>
      <c r="S20" s="277"/>
      <c r="T20" s="103"/>
      <c r="U20" s="184"/>
      <c r="V20" s="103"/>
      <c r="W20" s="103"/>
      <c r="X20" s="103"/>
      <c r="Y20" s="103"/>
      <c r="Z20" s="277"/>
      <c r="AA20" s="277"/>
      <c r="AB20" s="277"/>
      <c r="AC20" s="255"/>
      <c r="AD20" s="184"/>
      <c r="AE20" s="103"/>
      <c r="AF20" s="103"/>
      <c r="AG20" s="103"/>
      <c r="AH20" s="103"/>
      <c r="AL20" s="103"/>
      <c r="AM20" s="184"/>
      <c r="AN20" s="103"/>
      <c r="AO20" s="103"/>
      <c r="AP20" s="103"/>
      <c r="AQ20" s="103"/>
      <c r="AV20" s="184"/>
      <c r="BA20" s="277"/>
      <c r="BB20" s="277"/>
      <c r="BC20" s="277"/>
      <c r="BD20" s="277"/>
      <c r="BE20" s="277"/>
      <c r="BF20" s="277"/>
      <c r="BG20" s="277"/>
      <c r="BH20" s="277"/>
      <c r="BI20" s="277"/>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7"/>
      <c r="CO20" s="277"/>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row>
    <row r="21" spans="2:6118" ht="88.5" customHeight="1">
      <c r="B21" s="89" t="s">
        <v>127</v>
      </c>
      <c r="C21" s="32" t="s">
        <v>28</v>
      </c>
      <c r="D21" s="32" t="s">
        <v>56</v>
      </c>
      <c r="E21" s="32" t="s">
        <v>57</v>
      </c>
      <c r="F21" s="92" t="s">
        <v>391</v>
      </c>
      <c r="G21" s="92"/>
      <c r="H21" s="78">
        <v>0</v>
      </c>
      <c r="I21" s="78">
        <v>200</v>
      </c>
      <c r="J21" s="78">
        <v>500</v>
      </c>
      <c r="K21" s="92"/>
      <c r="L21" s="473" t="s">
        <v>78</v>
      </c>
      <c r="M21" s="110" t="s">
        <v>204</v>
      </c>
      <c r="N21" s="108" t="s">
        <v>79</v>
      </c>
      <c r="O21" s="108" t="s">
        <v>80</v>
      </c>
      <c r="P21" s="92"/>
      <c r="Q21" s="78">
        <v>0</v>
      </c>
      <c r="R21" s="78">
        <v>150</v>
      </c>
      <c r="S21" s="78">
        <v>400</v>
      </c>
      <c r="T21" s="103"/>
      <c r="U21" s="473" t="s">
        <v>103</v>
      </c>
      <c r="V21" s="110" t="s">
        <v>204</v>
      </c>
      <c r="W21" s="109" t="s">
        <v>140</v>
      </c>
      <c r="X21" s="109" t="s">
        <v>140</v>
      </c>
      <c r="Y21" s="103"/>
      <c r="Z21" s="78">
        <v>0</v>
      </c>
      <c r="AA21" s="78">
        <v>150</v>
      </c>
      <c r="AB21" s="78">
        <v>400</v>
      </c>
      <c r="AC21" s="255"/>
      <c r="AD21" s="473" t="s">
        <v>103</v>
      </c>
      <c r="AE21" s="110" t="s">
        <v>204</v>
      </c>
      <c r="AF21" s="109" t="s">
        <v>140</v>
      </c>
      <c r="AG21" s="109" t="s">
        <v>140</v>
      </c>
      <c r="AH21" s="217"/>
      <c r="AI21" s="78">
        <v>0</v>
      </c>
      <c r="AJ21" s="78">
        <v>150</v>
      </c>
      <c r="AK21" s="78">
        <v>400</v>
      </c>
      <c r="AL21" s="217"/>
      <c r="AM21" s="473" t="s">
        <v>103</v>
      </c>
      <c r="AN21" s="110" t="s">
        <v>204</v>
      </c>
      <c r="AO21" s="109" t="s">
        <v>140</v>
      </c>
      <c r="AP21" s="109" t="s">
        <v>140</v>
      </c>
      <c r="AQ21" s="217"/>
      <c r="AR21" s="192">
        <v>0</v>
      </c>
      <c r="AS21" s="192">
        <v>0</v>
      </c>
      <c r="AT21" s="192">
        <v>0</v>
      </c>
      <c r="AV21" s="474"/>
      <c r="AW21" s="109"/>
      <c r="AX21" s="109"/>
      <c r="AY21" s="109"/>
      <c r="BA21" s="277"/>
      <c r="BB21" s="277"/>
      <c r="BC21" s="277"/>
      <c r="BD21" s="277"/>
      <c r="BE21" s="277"/>
      <c r="BF21" s="277"/>
      <c r="BG21" s="277"/>
      <c r="BH21" s="277"/>
      <c r="BI21" s="277"/>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7"/>
      <c r="CO21" s="277"/>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row>
    <row r="22" spans="2:6118" ht="25.5">
      <c r="B22" s="89" t="s">
        <v>127</v>
      </c>
      <c r="C22" s="32" t="s">
        <v>28</v>
      </c>
      <c r="D22" s="32" t="s">
        <v>29</v>
      </c>
      <c r="E22" s="32" t="s">
        <v>57</v>
      </c>
      <c r="F22" s="94" t="s">
        <v>392</v>
      </c>
      <c r="G22" s="94"/>
      <c r="H22" s="78">
        <v>0</v>
      </c>
      <c r="I22" s="78">
        <v>20000</v>
      </c>
      <c r="J22" s="78">
        <v>50000</v>
      </c>
      <c r="K22" s="94"/>
      <c r="L22" s="473"/>
      <c r="M22" s="110" t="s">
        <v>81</v>
      </c>
      <c r="N22" s="108" t="s">
        <v>82</v>
      </c>
      <c r="O22" s="108" t="s">
        <v>82</v>
      </c>
      <c r="P22" s="94"/>
      <c r="Q22" s="78">
        <v>0</v>
      </c>
      <c r="R22" s="78">
        <v>20000</v>
      </c>
      <c r="S22" s="78">
        <v>50000</v>
      </c>
      <c r="T22" s="103"/>
      <c r="U22" s="473"/>
      <c r="V22" s="110" t="s">
        <v>202</v>
      </c>
      <c r="W22" s="110" t="s">
        <v>202</v>
      </c>
      <c r="X22" s="110" t="s">
        <v>202</v>
      </c>
      <c r="Y22" s="103"/>
      <c r="Z22" s="78">
        <v>0</v>
      </c>
      <c r="AA22" s="78">
        <v>20000</v>
      </c>
      <c r="AB22" s="78">
        <v>50000</v>
      </c>
      <c r="AC22" s="255"/>
      <c r="AD22" s="473"/>
      <c r="AE22" s="110" t="s">
        <v>202</v>
      </c>
      <c r="AF22" s="110" t="s">
        <v>202</v>
      </c>
      <c r="AG22" s="110" t="s">
        <v>202</v>
      </c>
      <c r="AH22" s="103"/>
      <c r="AI22" s="78">
        <v>0</v>
      </c>
      <c r="AJ22" s="78">
        <v>20000</v>
      </c>
      <c r="AK22" s="78">
        <v>50000</v>
      </c>
      <c r="AL22" s="103"/>
      <c r="AM22" s="473"/>
      <c r="AN22" s="110" t="s">
        <v>202</v>
      </c>
      <c r="AO22" s="110" t="s">
        <v>202</v>
      </c>
      <c r="AP22" s="110" t="s">
        <v>202</v>
      </c>
      <c r="AQ22" s="103"/>
      <c r="AR22" s="192">
        <v>0</v>
      </c>
      <c r="AS22" s="192">
        <v>0</v>
      </c>
      <c r="AT22" s="192">
        <v>0</v>
      </c>
      <c r="AV22" s="475"/>
      <c r="AW22" s="109"/>
      <c r="AX22" s="109"/>
      <c r="AY22" s="109"/>
      <c r="BA22" s="277"/>
      <c r="BB22" s="277"/>
      <c r="BC22" s="277"/>
      <c r="BD22" s="277"/>
      <c r="BE22" s="277"/>
      <c r="BF22" s="277"/>
      <c r="BG22" s="277"/>
      <c r="BH22" s="277"/>
      <c r="BI22" s="277"/>
      <c r="BJ22" s="277"/>
      <c r="BK22" s="277"/>
      <c r="BL22" s="277"/>
      <c r="BM22" s="277"/>
      <c r="BN22" s="277"/>
      <c r="BO22" s="277"/>
      <c r="BP22" s="277"/>
      <c r="BQ22" s="277"/>
      <c r="BR22" s="277"/>
      <c r="BS22" s="277"/>
      <c r="BT22" s="277"/>
      <c r="BU22" s="277"/>
      <c r="BV22" s="277"/>
      <c r="BW22" s="277"/>
      <c r="BX22" s="277"/>
      <c r="BY22" s="277"/>
      <c r="BZ22" s="277"/>
      <c r="CA22" s="277"/>
      <c r="CB22" s="277"/>
      <c r="CC22" s="277"/>
      <c r="CD22" s="277"/>
      <c r="CE22" s="277"/>
      <c r="CF22" s="277"/>
      <c r="CG22" s="277"/>
      <c r="CH22" s="277"/>
      <c r="CI22" s="277"/>
      <c r="CJ22" s="277"/>
      <c r="CK22" s="277"/>
      <c r="CL22" s="277"/>
      <c r="CM22" s="277"/>
      <c r="CN22" s="277"/>
      <c r="CO22" s="277"/>
      <c r="CP22" s="277"/>
      <c r="CQ22" s="277"/>
      <c r="CR22" s="277"/>
      <c r="CS22" s="277"/>
      <c r="CT22" s="277"/>
      <c r="CU22" s="277"/>
      <c r="CV22" s="277"/>
      <c r="CW22" s="277"/>
      <c r="CX22" s="277"/>
      <c r="CY22" s="277"/>
      <c r="CZ22" s="277"/>
      <c r="DA22" s="277"/>
      <c r="DB22" s="277"/>
      <c r="DC22" s="277"/>
      <c r="DD22" s="277"/>
      <c r="DE22" s="277"/>
      <c r="DF22" s="277"/>
      <c r="DG22" s="277"/>
      <c r="DH22" s="277"/>
      <c r="DI22" s="277"/>
      <c r="DJ22" s="277"/>
      <c r="DK22" s="277"/>
    </row>
    <row r="23" spans="2:6118" ht="25.5">
      <c r="B23" s="89" t="s">
        <v>127</v>
      </c>
      <c r="C23" s="32" t="s">
        <v>28</v>
      </c>
      <c r="D23" s="32" t="s">
        <v>58</v>
      </c>
      <c r="E23" s="32" t="s">
        <v>59</v>
      </c>
      <c r="F23" s="92" t="s">
        <v>393</v>
      </c>
      <c r="G23" s="92"/>
      <c r="H23" s="79">
        <f ca="1">OPEXtoCAPEX</f>
        <v>0.2</v>
      </c>
      <c r="I23" s="79">
        <f ca="1">OPEXtoCAPEX</f>
        <v>0.2</v>
      </c>
      <c r="J23" s="79">
        <f ca="1">OPEXtoCAPEX</f>
        <v>0.2</v>
      </c>
      <c r="K23" s="92"/>
      <c r="L23" s="473"/>
      <c r="M23" s="110" t="s">
        <v>195</v>
      </c>
      <c r="N23" s="110" t="s">
        <v>193</v>
      </c>
      <c r="O23" s="110" t="s">
        <v>193</v>
      </c>
      <c r="P23" s="92"/>
      <c r="Q23" s="79">
        <f ca="1">OPEXtoCAPEX</f>
        <v>0.2</v>
      </c>
      <c r="R23" s="79">
        <f ca="1">OPEXtoCAPEX</f>
        <v>0.2</v>
      </c>
      <c r="S23" s="79">
        <f ca="1">OPEXtoCAPEX</f>
        <v>0.2</v>
      </c>
      <c r="T23" s="104"/>
      <c r="U23" s="473"/>
      <c r="V23" s="110" t="s">
        <v>202</v>
      </c>
      <c r="W23" s="110" t="s">
        <v>202</v>
      </c>
      <c r="X23" s="110" t="s">
        <v>202</v>
      </c>
      <c r="Y23" s="104"/>
      <c r="Z23" s="79">
        <f ca="1">OPEXtoCAPEX</f>
        <v>0.2</v>
      </c>
      <c r="AA23" s="79">
        <f ca="1">OPEXtoCAPEX</f>
        <v>0.2</v>
      </c>
      <c r="AB23" s="79">
        <f ca="1">OPEXtoCAPEX</f>
        <v>0.2</v>
      </c>
      <c r="AC23" s="255"/>
      <c r="AD23" s="473"/>
      <c r="AE23" s="110" t="s">
        <v>202</v>
      </c>
      <c r="AF23" s="110" t="s">
        <v>202</v>
      </c>
      <c r="AG23" s="110" t="s">
        <v>202</v>
      </c>
      <c r="AH23" s="103"/>
      <c r="AI23" s="79">
        <f ca="1">OPEXtoCAPEX</f>
        <v>0.2</v>
      </c>
      <c r="AJ23" s="79">
        <f ca="1">OPEXtoCAPEX</f>
        <v>0.2</v>
      </c>
      <c r="AK23" s="79">
        <f ca="1">OPEXtoCAPEX</f>
        <v>0.2</v>
      </c>
      <c r="AL23" s="103"/>
      <c r="AM23" s="473"/>
      <c r="AN23" s="110" t="s">
        <v>202</v>
      </c>
      <c r="AO23" s="110" t="s">
        <v>202</v>
      </c>
      <c r="AP23" s="110" t="s">
        <v>202</v>
      </c>
      <c r="AQ23" s="103"/>
      <c r="AR23" s="79">
        <f ca="1">OPEXtoCAPEX</f>
        <v>0.2</v>
      </c>
      <c r="AS23" s="79">
        <f ca="1">OPEXtoCAPEX</f>
        <v>0.2</v>
      </c>
      <c r="AT23" s="79">
        <f ca="1">OPEXtoCAPEX</f>
        <v>0.2</v>
      </c>
      <c r="AV23" s="476"/>
      <c r="AW23" s="109"/>
      <c r="AX23" s="109"/>
      <c r="AY23" s="109"/>
      <c r="BA23" s="277"/>
      <c r="BB23" s="277"/>
      <c r="BC23" s="277"/>
      <c r="BD23" s="277"/>
      <c r="BE23" s="277"/>
      <c r="BF23" s="277"/>
      <c r="BG23" s="277"/>
      <c r="BH23" s="277"/>
      <c r="BI23" s="277"/>
      <c r="BJ23" s="277"/>
      <c r="BK23" s="277"/>
      <c r="BL23" s="277"/>
      <c r="BM23" s="277"/>
      <c r="BN23" s="277"/>
      <c r="BO23" s="277"/>
      <c r="BP23" s="277"/>
      <c r="BQ23" s="277"/>
      <c r="BR23" s="277"/>
      <c r="BS23" s="277"/>
      <c r="BT23" s="277"/>
      <c r="BU23" s="277"/>
      <c r="BV23" s="277"/>
      <c r="BW23" s="277"/>
      <c r="BX23" s="277"/>
      <c r="BY23" s="277"/>
      <c r="BZ23" s="277"/>
      <c r="CA23" s="277"/>
      <c r="CB23" s="277"/>
      <c r="CC23" s="277"/>
      <c r="CD23" s="277"/>
      <c r="CE23" s="277"/>
      <c r="CF23" s="277"/>
      <c r="CG23" s="277"/>
      <c r="CH23" s="277"/>
      <c r="CI23" s="277"/>
      <c r="CJ23" s="277"/>
      <c r="CK23" s="277"/>
      <c r="CL23" s="277"/>
      <c r="CM23" s="277"/>
      <c r="CN23" s="277"/>
      <c r="CO23" s="277"/>
      <c r="CP23" s="277"/>
      <c r="CQ23" s="277"/>
      <c r="CR23" s="277"/>
      <c r="CS23" s="277"/>
      <c r="CT23" s="277"/>
      <c r="CU23" s="277"/>
      <c r="CV23" s="277"/>
      <c r="CW23" s="277"/>
      <c r="CX23" s="277"/>
      <c r="CY23" s="277"/>
      <c r="CZ23" s="277"/>
      <c r="DA23" s="277"/>
      <c r="DB23" s="277"/>
      <c r="DC23" s="277"/>
      <c r="DD23" s="277"/>
      <c r="DE23" s="277"/>
      <c r="DF23" s="277"/>
      <c r="DG23" s="277"/>
      <c r="DH23" s="277"/>
      <c r="DI23" s="277"/>
      <c r="DJ23" s="277"/>
      <c r="DK23" s="277"/>
    </row>
    <row r="24" spans="2:6118" ht="123" customHeight="1">
      <c r="B24" s="89" t="s">
        <v>127</v>
      </c>
      <c r="C24" s="32" t="s">
        <v>30</v>
      </c>
      <c r="D24" s="32" t="s">
        <v>29</v>
      </c>
      <c r="E24" s="32" t="s">
        <v>21</v>
      </c>
      <c r="F24" s="105" t="s">
        <v>394</v>
      </c>
      <c r="G24" s="105"/>
      <c r="H24" s="78">
        <v>0</v>
      </c>
      <c r="I24" s="78">
        <v>50000</v>
      </c>
      <c r="J24" s="78">
        <v>200000</v>
      </c>
      <c r="K24" s="105"/>
      <c r="L24" s="111" t="s">
        <v>83</v>
      </c>
      <c r="M24" s="111" t="s">
        <v>198</v>
      </c>
      <c r="N24" s="111" t="s">
        <v>197</v>
      </c>
      <c r="O24" s="178" t="s">
        <v>196</v>
      </c>
      <c r="P24" s="105"/>
      <c r="Q24" s="192">
        <v>0</v>
      </c>
      <c r="R24" s="192">
        <v>0</v>
      </c>
      <c r="S24" s="192">
        <v>0</v>
      </c>
      <c r="T24" s="92"/>
      <c r="U24" s="108" t="s">
        <v>201</v>
      </c>
      <c r="V24" s="108" t="s">
        <v>194</v>
      </c>
      <c r="W24" s="108" t="s">
        <v>194</v>
      </c>
      <c r="X24" s="108" t="s">
        <v>194</v>
      </c>
      <c r="Y24" s="92"/>
      <c r="Z24" s="192">
        <v>0</v>
      </c>
      <c r="AA24" s="192">
        <v>0</v>
      </c>
      <c r="AB24" s="192">
        <v>0</v>
      </c>
      <c r="AC24" s="255"/>
      <c r="AD24" s="108" t="s">
        <v>201</v>
      </c>
      <c r="AE24" s="108" t="s">
        <v>194</v>
      </c>
      <c r="AF24" s="108" t="s">
        <v>194</v>
      </c>
      <c r="AG24" s="108" t="s">
        <v>194</v>
      </c>
      <c r="AH24" s="103"/>
      <c r="AI24" s="192">
        <v>0</v>
      </c>
      <c r="AJ24" s="192">
        <v>0</v>
      </c>
      <c r="AK24" s="192">
        <v>0</v>
      </c>
      <c r="AL24" s="103"/>
      <c r="AM24" s="108" t="s">
        <v>201</v>
      </c>
      <c r="AN24" s="108" t="s">
        <v>194</v>
      </c>
      <c r="AO24" s="108" t="s">
        <v>194</v>
      </c>
      <c r="AP24" s="108" t="s">
        <v>194</v>
      </c>
      <c r="AQ24" s="103"/>
      <c r="AR24" s="192">
        <v>0</v>
      </c>
      <c r="AS24" s="192">
        <v>0</v>
      </c>
      <c r="AT24" s="192">
        <v>0</v>
      </c>
      <c r="AV24" s="108" t="s">
        <v>201</v>
      </c>
      <c r="AW24" s="109" t="s">
        <v>194</v>
      </c>
      <c r="AX24" s="109" t="s">
        <v>194</v>
      </c>
      <c r="AY24" s="109" t="s">
        <v>194</v>
      </c>
      <c r="BA24" s="277"/>
      <c r="BB24" s="277"/>
      <c r="BC24" s="277"/>
      <c r="BD24" s="277"/>
      <c r="BE24" s="277"/>
      <c r="BF24" s="277"/>
      <c r="BG24" s="277"/>
      <c r="BH24" s="277"/>
      <c r="BI24" s="277"/>
      <c r="BJ24" s="277"/>
      <c r="BK24" s="277"/>
      <c r="BL24" s="277"/>
      <c r="BM24" s="277"/>
      <c r="BN24" s="277"/>
      <c r="BO24" s="277"/>
      <c r="BP24" s="277"/>
      <c r="BQ24" s="277"/>
      <c r="BR24" s="277"/>
      <c r="BS24" s="277"/>
      <c r="BT24" s="277"/>
      <c r="BU24" s="277"/>
      <c r="BV24" s="277"/>
      <c r="BW24" s="277"/>
      <c r="BX24" s="277"/>
      <c r="BY24" s="277"/>
      <c r="BZ24" s="277"/>
      <c r="CA24" s="277"/>
      <c r="CB24" s="277"/>
      <c r="CC24" s="277"/>
      <c r="CD24" s="277"/>
      <c r="CE24" s="277"/>
      <c r="CF24" s="277"/>
      <c r="CG24" s="277"/>
      <c r="CH24" s="277"/>
      <c r="CI24" s="277"/>
      <c r="CJ24" s="277"/>
      <c r="CK24" s="277"/>
      <c r="CL24" s="277"/>
      <c r="CM24" s="277"/>
      <c r="CN24" s="277"/>
      <c r="CO24" s="277"/>
      <c r="CP24" s="277"/>
      <c r="CQ24" s="277"/>
      <c r="CR24" s="277"/>
      <c r="CS24" s="277"/>
      <c r="CT24" s="277"/>
      <c r="CU24" s="277"/>
      <c r="CV24" s="277"/>
      <c r="CW24" s="277"/>
      <c r="CX24" s="277"/>
      <c r="CY24" s="277"/>
      <c r="CZ24" s="277"/>
      <c r="DA24" s="277"/>
      <c r="DB24" s="277"/>
      <c r="DC24" s="277"/>
      <c r="DD24" s="277"/>
      <c r="DE24" s="277"/>
      <c r="DF24" s="277"/>
      <c r="DG24" s="277"/>
      <c r="DH24" s="277"/>
      <c r="DI24" s="277"/>
      <c r="DJ24" s="277"/>
      <c r="DK24" s="277"/>
    </row>
    <row r="25" spans="2:6118" ht="89.25" customHeight="1">
      <c r="B25" s="89" t="s">
        <v>127</v>
      </c>
      <c r="C25" s="32" t="s">
        <v>31</v>
      </c>
      <c r="D25" s="32" t="s">
        <v>56</v>
      </c>
      <c r="E25" s="32" t="s">
        <v>57</v>
      </c>
      <c r="F25" s="107" t="s">
        <v>395</v>
      </c>
      <c r="G25" s="107"/>
      <c r="H25" s="78">
        <v>0</v>
      </c>
      <c r="I25" s="78">
        <v>160</v>
      </c>
      <c r="J25" s="78">
        <v>300</v>
      </c>
      <c r="K25" s="106"/>
      <c r="L25" s="473" t="s">
        <v>84</v>
      </c>
      <c r="M25" s="207" t="s">
        <v>262</v>
      </c>
      <c r="N25" s="108" t="s">
        <v>258</v>
      </c>
      <c r="O25" s="108" t="s">
        <v>259</v>
      </c>
      <c r="P25" s="106"/>
      <c r="Q25" s="78">
        <v>0</v>
      </c>
      <c r="R25" s="78">
        <v>160</v>
      </c>
      <c r="S25" s="78">
        <v>300</v>
      </c>
      <c r="T25" s="92"/>
      <c r="U25" s="469" t="s">
        <v>104</v>
      </c>
      <c r="V25" s="110" t="s">
        <v>202</v>
      </c>
      <c r="W25" s="110" t="s">
        <v>202</v>
      </c>
      <c r="X25" s="110" t="s">
        <v>202</v>
      </c>
      <c r="Y25" s="92"/>
      <c r="Z25" s="78">
        <v>0</v>
      </c>
      <c r="AA25" s="78">
        <v>160</v>
      </c>
      <c r="AB25" s="78">
        <v>300</v>
      </c>
      <c r="AC25" s="255"/>
      <c r="AD25" s="469" t="s">
        <v>104</v>
      </c>
      <c r="AE25" s="110" t="s">
        <v>202</v>
      </c>
      <c r="AF25" s="110" t="s">
        <v>202</v>
      </c>
      <c r="AG25" s="110" t="s">
        <v>202</v>
      </c>
      <c r="AH25" s="103"/>
      <c r="AI25" s="78">
        <v>0</v>
      </c>
      <c r="AJ25" s="78">
        <v>160</v>
      </c>
      <c r="AK25" s="78">
        <v>300</v>
      </c>
      <c r="AL25" s="103"/>
      <c r="AM25" s="469" t="s">
        <v>104</v>
      </c>
      <c r="AN25" s="110" t="s">
        <v>202</v>
      </c>
      <c r="AO25" s="110" t="s">
        <v>202</v>
      </c>
      <c r="AP25" s="110" t="s">
        <v>202</v>
      </c>
      <c r="AQ25" s="103"/>
      <c r="AR25" s="78">
        <v>0</v>
      </c>
      <c r="AS25" s="78">
        <v>100</v>
      </c>
      <c r="AT25" s="78">
        <v>150</v>
      </c>
      <c r="AV25" s="481" t="s">
        <v>104</v>
      </c>
      <c r="AW25" s="109" t="s">
        <v>207</v>
      </c>
      <c r="AX25" s="109" t="s">
        <v>209</v>
      </c>
      <c r="AY25" s="109" t="s">
        <v>208</v>
      </c>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c r="CJ25" s="277"/>
      <c r="CK25" s="277"/>
      <c r="CL25" s="277"/>
      <c r="CM25" s="277"/>
      <c r="CN25" s="277"/>
      <c r="CO25" s="277"/>
      <c r="CP25" s="277"/>
      <c r="CQ25" s="277"/>
      <c r="CR25" s="277"/>
      <c r="CS25" s="277"/>
      <c r="CT25" s="277"/>
      <c r="CU25" s="277"/>
      <c r="CV25" s="277"/>
      <c r="CW25" s="277"/>
      <c r="CX25" s="277"/>
      <c r="CY25" s="277"/>
      <c r="CZ25" s="277"/>
      <c r="DA25" s="277"/>
      <c r="DB25" s="277"/>
      <c r="DC25" s="277"/>
      <c r="DD25" s="277"/>
      <c r="DE25" s="277"/>
      <c r="DF25" s="277"/>
      <c r="DG25" s="277"/>
      <c r="DH25" s="277"/>
      <c r="DI25" s="277"/>
      <c r="DJ25" s="277"/>
      <c r="DK25" s="277"/>
    </row>
    <row r="26" spans="2:6118" ht="25.5">
      <c r="B26" s="89" t="s">
        <v>127</v>
      </c>
      <c r="C26" s="32" t="s">
        <v>31</v>
      </c>
      <c r="D26" s="32" t="s">
        <v>29</v>
      </c>
      <c r="E26" s="32" t="s">
        <v>57</v>
      </c>
      <c r="F26" s="93" t="s">
        <v>400</v>
      </c>
      <c r="G26" s="93"/>
      <c r="H26" s="78">
        <v>0</v>
      </c>
      <c r="I26" s="78">
        <v>20000</v>
      </c>
      <c r="J26" s="78">
        <v>50000</v>
      </c>
      <c r="K26" s="93"/>
      <c r="L26" s="473"/>
      <c r="M26" s="110" t="s">
        <v>130</v>
      </c>
      <c r="N26" s="108" t="s">
        <v>85</v>
      </c>
      <c r="O26" s="108" t="s">
        <v>85</v>
      </c>
      <c r="P26" s="93"/>
      <c r="Q26" s="78">
        <v>0</v>
      </c>
      <c r="R26" s="78">
        <v>20000</v>
      </c>
      <c r="S26" s="78">
        <v>50000</v>
      </c>
      <c r="T26" s="92"/>
      <c r="U26" s="469"/>
      <c r="V26" s="110" t="s">
        <v>202</v>
      </c>
      <c r="W26" s="110" t="s">
        <v>202</v>
      </c>
      <c r="X26" s="110" t="s">
        <v>202</v>
      </c>
      <c r="Y26" s="92"/>
      <c r="Z26" s="78">
        <v>0</v>
      </c>
      <c r="AA26" s="78">
        <v>20000</v>
      </c>
      <c r="AB26" s="78">
        <v>50000</v>
      </c>
      <c r="AC26" s="255"/>
      <c r="AD26" s="469"/>
      <c r="AE26" s="110" t="s">
        <v>202</v>
      </c>
      <c r="AF26" s="110" t="s">
        <v>202</v>
      </c>
      <c r="AG26" s="110" t="s">
        <v>202</v>
      </c>
      <c r="AH26" s="103"/>
      <c r="AI26" s="78">
        <v>0</v>
      </c>
      <c r="AJ26" s="78">
        <v>20000</v>
      </c>
      <c r="AK26" s="78">
        <v>50000</v>
      </c>
      <c r="AL26" s="103"/>
      <c r="AM26" s="469"/>
      <c r="AN26" s="110" t="s">
        <v>202</v>
      </c>
      <c r="AO26" s="110" t="s">
        <v>202</v>
      </c>
      <c r="AP26" s="110" t="s">
        <v>202</v>
      </c>
      <c r="AQ26" s="103"/>
      <c r="AR26" s="78">
        <v>0</v>
      </c>
      <c r="AS26" s="78">
        <v>40000</v>
      </c>
      <c r="AT26" s="78">
        <v>70000</v>
      </c>
      <c r="AV26" s="482"/>
      <c r="AW26" s="109" t="s">
        <v>210</v>
      </c>
      <c r="AX26" s="109" t="s">
        <v>211</v>
      </c>
      <c r="AY26" s="109" t="s">
        <v>212</v>
      </c>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c r="CJ26" s="277"/>
      <c r="CK26" s="277"/>
      <c r="CL26" s="277"/>
      <c r="CM26" s="277"/>
      <c r="CN26" s="277"/>
      <c r="CO26" s="277"/>
      <c r="CP26" s="277"/>
      <c r="CQ26" s="277"/>
      <c r="CR26" s="277"/>
      <c r="CS26" s="277"/>
      <c r="CT26" s="277"/>
      <c r="CU26" s="277"/>
      <c r="CV26" s="277"/>
      <c r="CW26" s="277"/>
      <c r="CX26" s="277"/>
      <c r="CY26" s="277"/>
      <c r="CZ26" s="277"/>
      <c r="DA26" s="277"/>
      <c r="DB26" s="277"/>
      <c r="DC26" s="277"/>
      <c r="DD26" s="277"/>
      <c r="DE26" s="277"/>
      <c r="DF26" s="277"/>
      <c r="DG26" s="277"/>
      <c r="DH26" s="277"/>
      <c r="DI26" s="277"/>
      <c r="DJ26" s="277"/>
      <c r="DK26" s="277"/>
    </row>
    <row r="27" spans="2:6118" ht="25.5">
      <c r="B27" s="89" t="s">
        <v>127</v>
      </c>
      <c r="C27" s="32" t="s">
        <v>31</v>
      </c>
      <c r="D27" s="32" t="s">
        <v>58</v>
      </c>
      <c r="E27" s="60" t="s">
        <v>59</v>
      </c>
      <c r="F27" s="93" t="s">
        <v>399</v>
      </c>
      <c r="G27" s="93"/>
      <c r="H27" s="79">
        <f ca="1">OPEXtoCAPEX</f>
        <v>0.2</v>
      </c>
      <c r="I27" s="79">
        <f ca="1">OPEXtoCAPEX</f>
        <v>0.2</v>
      </c>
      <c r="J27" s="79">
        <f ca="1">OPEXtoCAPEX</f>
        <v>0.2</v>
      </c>
      <c r="K27" s="93"/>
      <c r="L27" s="473"/>
      <c r="M27" s="110" t="s">
        <v>195</v>
      </c>
      <c r="N27" s="93"/>
      <c r="O27" s="93"/>
      <c r="P27" s="93"/>
      <c r="Q27" s="79">
        <f ca="1">OPEXtoCAPEX</f>
        <v>0.2</v>
      </c>
      <c r="R27" s="79">
        <f ca="1">OPEXtoCAPEX</f>
        <v>0.2</v>
      </c>
      <c r="S27" s="79">
        <f ca="1">OPEXtoCAPEX</f>
        <v>0.2</v>
      </c>
      <c r="T27" s="183"/>
      <c r="U27" s="469"/>
      <c r="V27" s="110" t="s">
        <v>202</v>
      </c>
      <c r="W27" s="110" t="s">
        <v>202</v>
      </c>
      <c r="X27" s="110" t="s">
        <v>202</v>
      </c>
      <c r="Y27" s="183"/>
      <c r="Z27" s="79">
        <f ca="1">OPEXtoCAPEX</f>
        <v>0.2</v>
      </c>
      <c r="AA27" s="79">
        <f ca="1">OPEXtoCAPEX</f>
        <v>0.2</v>
      </c>
      <c r="AB27" s="79">
        <f ca="1">OPEXtoCAPEX</f>
        <v>0.2</v>
      </c>
      <c r="AC27" s="255"/>
      <c r="AD27" s="469"/>
      <c r="AE27" s="110" t="s">
        <v>202</v>
      </c>
      <c r="AF27" s="110" t="s">
        <v>202</v>
      </c>
      <c r="AG27" s="110" t="s">
        <v>202</v>
      </c>
      <c r="AH27" s="103"/>
      <c r="AI27" s="79">
        <f ca="1">OPEXtoCAPEX</f>
        <v>0.2</v>
      </c>
      <c r="AJ27" s="79">
        <f ca="1">OPEXtoCAPEX</f>
        <v>0.2</v>
      </c>
      <c r="AK27" s="79">
        <f ca="1">OPEXtoCAPEX</f>
        <v>0.2</v>
      </c>
      <c r="AL27" s="103"/>
      <c r="AM27" s="469"/>
      <c r="AN27" s="110" t="s">
        <v>202</v>
      </c>
      <c r="AO27" s="110" t="s">
        <v>202</v>
      </c>
      <c r="AP27" s="110" t="s">
        <v>202</v>
      </c>
      <c r="AQ27" s="103"/>
      <c r="AR27" s="79">
        <f ca="1">OPEXtoCAPEX</f>
        <v>0.2</v>
      </c>
      <c r="AS27" s="79">
        <f ca="1">OPEXtoCAPEX</f>
        <v>0.2</v>
      </c>
      <c r="AT27" s="79">
        <f ca="1">OPEXtoCAPEX</f>
        <v>0.2</v>
      </c>
      <c r="AV27" s="483"/>
      <c r="AW27" s="109" t="s">
        <v>213</v>
      </c>
      <c r="AX27" s="109" t="s">
        <v>193</v>
      </c>
      <c r="AY27" s="109" t="s">
        <v>193</v>
      </c>
      <c r="BA27" s="277"/>
      <c r="BB27" s="277"/>
      <c r="BC27" s="277"/>
      <c r="BD27" s="277"/>
      <c r="BE27" s="277"/>
      <c r="BF27" s="277"/>
      <c r="BG27" s="277"/>
      <c r="BH27" s="277"/>
      <c r="BI27" s="277"/>
      <c r="BJ27" s="277"/>
      <c r="BK27" s="277"/>
      <c r="BL27" s="277"/>
      <c r="BM27" s="277"/>
      <c r="BN27" s="277"/>
      <c r="BO27" s="277"/>
      <c r="BP27" s="277"/>
      <c r="BQ27" s="277"/>
      <c r="BR27" s="277"/>
      <c r="BS27" s="277"/>
      <c r="BT27" s="277"/>
      <c r="BU27" s="277"/>
      <c r="BV27" s="277"/>
      <c r="BW27" s="277"/>
      <c r="BX27" s="277"/>
      <c r="BY27" s="277"/>
      <c r="BZ27" s="277"/>
      <c r="CA27" s="277"/>
      <c r="CB27" s="277"/>
      <c r="CC27" s="277"/>
      <c r="CD27" s="277"/>
      <c r="CE27" s="277"/>
      <c r="CF27" s="277"/>
      <c r="CG27" s="277"/>
      <c r="CH27" s="277"/>
      <c r="CI27" s="277"/>
      <c r="CJ27" s="277"/>
      <c r="CK27" s="277"/>
      <c r="CL27" s="277"/>
      <c r="CM27" s="277"/>
      <c r="CN27" s="277"/>
      <c r="CO27" s="277"/>
      <c r="CP27" s="277"/>
      <c r="CQ27" s="277"/>
      <c r="CR27" s="277"/>
      <c r="CS27" s="277"/>
      <c r="CT27" s="277"/>
      <c r="CU27" s="277"/>
      <c r="CV27" s="277"/>
      <c r="CW27" s="277"/>
      <c r="CX27" s="277"/>
      <c r="CY27" s="277"/>
      <c r="CZ27" s="277"/>
      <c r="DA27" s="277"/>
      <c r="DB27" s="277"/>
      <c r="DC27" s="277"/>
      <c r="DD27" s="277"/>
      <c r="DE27" s="277"/>
      <c r="DF27" s="277"/>
      <c r="DG27" s="277"/>
      <c r="DH27" s="277"/>
      <c r="DI27" s="277"/>
      <c r="DJ27" s="277"/>
      <c r="DK27" s="277"/>
    </row>
    <row r="28" spans="2:6118" ht="90" customHeight="1">
      <c r="B28" s="89" t="s">
        <v>127</v>
      </c>
      <c r="C28" s="32" t="s">
        <v>32</v>
      </c>
      <c r="D28" s="32" t="s">
        <v>56</v>
      </c>
      <c r="E28" s="32" t="s">
        <v>57</v>
      </c>
      <c r="F28" s="107" t="s">
        <v>398</v>
      </c>
      <c r="G28" s="107"/>
      <c r="H28" s="78">
        <v>0</v>
      </c>
      <c r="I28" s="78">
        <v>60</v>
      </c>
      <c r="J28" s="78">
        <v>300</v>
      </c>
      <c r="K28" s="107"/>
      <c r="L28" s="477" t="s">
        <v>86</v>
      </c>
      <c r="M28" s="110" t="s">
        <v>87</v>
      </c>
      <c r="N28" s="108" t="s">
        <v>256</v>
      </c>
      <c r="O28" s="108" t="s">
        <v>260</v>
      </c>
      <c r="P28" s="107"/>
      <c r="Q28" s="78">
        <v>0</v>
      </c>
      <c r="R28" s="78">
        <v>60</v>
      </c>
      <c r="S28" s="78">
        <v>300</v>
      </c>
      <c r="T28" s="92"/>
      <c r="U28" s="469" t="s">
        <v>105</v>
      </c>
      <c r="V28" s="110" t="s">
        <v>202</v>
      </c>
      <c r="W28" s="110" t="s">
        <v>202</v>
      </c>
      <c r="X28" s="110" t="s">
        <v>202</v>
      </c>
      <c r="Y28" s="92"/>
      <c r="Z28" s="78">
        <v>0</v>
      </c>
      <c r="AA28" s="78">
        <v>60</v>
      </c>
      <c r="AB28" s="78">
        <v>300</v>
      </c>
      <c r="AC28" s="255"/>
      <c r="AD28" s="469" t="s">
        <v>105</v>
      </c>
      <c r="AE28" s="110" t="s">
        <v>202</v>
      </c>
      <c r="AF28" s="110" t="s">
        <v>202</v>
      </c>
      <c r="AG28" s="110" t="s">
        <v>202</v>
      </c>
      <c r="AH28" s="103"/>
      <c r="AI28" s="78">
        <v>0</v>
      </c>
      <c r="AJ28" s="78">
        <v>60</v>
      </c>
      <c r="AK28" s="78">
        <v>300</v>
      </c>
      <c r="AL28" s="103"/>
      <c r="AM28" s="469" t="s">
        <v>105</v>
      </c>
      <c r="AN28" s="110" t="s">
        <v>202</v>
      </c>
      <c r="AO28" s="110" t="s">
        <v>202</v>
      </c>
      <c r="AP28" s="110" t="s">
        <v>202</v>
      </c>
      <c r="AQ28" s="103"/>
      <c r="AR28" s="78">
        <v>0</v>
      </c>
      <c r="AS28" s="78">
        <v>30</v>
      </c>
      <c r="AT28" s="78">
        <v>120</v>
      </c>
      <c r="AV28" s="481" t="s">
        <v>105</v>
      </c>
      <c r="AW28" s="109" t="s">
        <v>141</v>
      </c>
      <c r="AX28" s="109" t="s">
        <v>214</v>
      </c>
      <c r="AY28" s="109" t="s">
        <v>214</v>
      </c>
      <c r="BA28" s="277"/>
      <c r="BB28" s="277"/>
      <c r="BC28" s="277"/>
      <c r="BD28" s="277"/>
      <c r="BE28" s="277"/>
      <c r="BF28" s="277"/>
      <c r="BG28" s="277"/>
      <c r="BH28" s="277"/>
      <c r="BI28" s="277"/>
      <c r="BJ28" s="277"/>
      <c r="BK28" s="277"/>
      <c r="BL28" s="277"/>
      <c r="BM28" s="277"/>
      <c r="BN28" s="277"/>
      <c r="BO28" s="277"/>
      <c r="BP28" s="277"/>
      <c r="BQ28" s="277"/>
      <c r="BR28" s="277"/>
      <c r="BS28" s="277"/>
      <c r="BT28" s="277"/>
      <c r="BU28" s="277"/>
      <c r="BV28" s="277"/>
      <c r="BW28" s="277"/>
      <c r="BX28" s="277"/>
      <c r="BY28" s="277"/>
      <c r="BZ28" s="277"/>
      <c r="CA28" s="277"/>
      <c r="CB28" s="277"/>
      <c r="CC28" s="277"/>
      <c r="CD28" s="277"/>
      <c r="CE28" s="277"/>
      <c r="CF28" s="277"/>
      <c r="CG28" s="277"/>
      <c r="CH28" s="277"/>
      <c r="CI28" s="277"/>
      <c r="CJ28" s="277"/>
      <c r="CK28" s="277"/>
      <c r="CL28" s="277"/>
      <c r="CM28" s="277"/>
      <c r="CN28" s="277"/>
      <c r="CO28" s="277"/>
      <c r="CP28" s="277"/>
      <c r="CQ28" s="277"/>
      <c r="CR28" s="277"/>
      <c r="CS28" s="277"/>
      <c r="CT28" s="277"/>
      <c r="CU28" s="277"/>
      <c r="CV28" s="277"/>
      <c r="CW28" s="277"/>
      <c r="CX28" s="277"/>
      <c r="CY28" s="277"/>
      <c r="CZ28" s="277"/>
      <c r="DA28" s="277"/>
      <c r="DB28" s="277"/>
      <c r="DC28" s="277"/>
      <c r="DD28" s="277"/>
      <c r="DE28" s="277"/>
      <c r="DF28" s="277"/>
      <c r="DG28" s="277"/>
      <c r="DH28" s="277"/>
      <c r="DI28" s="277"/>
      <c r="DJ28" s="277"/>
      <c r="DK28" s="277"/>
    </row>
    <row r="29" spans="2:6118" ht="25.5">
      <c r="B29" s="89" t="s">
        <v>127</v>
      </c>
      <c r="C29" s="32" t="s">
        <v>32</v>
      </c>
      <c r="D29" s="32" t="s">
        <v>29</v>
      </c>
      <c r="E29" s="32" t="s">
        <v>57</v>
      </c>
      <c r="F29" s="93" t="s">
        <v>397</v>
      </c>
      <c r="G29" s="93"/>
      <c r="H29" s="78">
        <v>0</v>
      </c>
      <c r="I29" s="78">
        <v>10000</v>
      </c>
      <c r="J29" s="78">
        <v>40000</v>
      </c>
      <c r="K29" s="93"/>
      <c r="L29" s="477"/>
      <c r="M29" s="110" t="s">
        <v>88</v>
      </c>
      <c r="N29" s="108" t="s">
        <v>85</v>
      </c>
      <c r="O29" s="108" t="s">
        <v>85</v>
      </c>
      <c r="P29" s="93"/>
      <c r="Q29" s="78">
        <v>0</v>
      </c>
      <c r="R29" s="78">
        <v>10000</v>
      </c>
      <c r="S29" s="78">
        <v>40000</v>
      </c>
      <c r="T29" s="94"/>
      <c r="U29" s="469"/>
      <c r="V29" s="110" t="s">
        <v>202</v>
      </c>
      <c r="W29" s="110" t="s">
        <v>202</v>
      </c>
      <c r="X29" s="110" t="s">
        <v>202</v>
      </c>
      <c r="Y29" s="94"/>
      <c r="Z29" s="78">
        <v>0</v>
      </c>
      <c r="AA29" s="78">
        <v>10000</v>
      </c>
      <c r="AB29" s="78">
        <v>40000</v>
      </c>
      <c r="AC29" s="255"/>
      <c r="AD29" s="469"/>
      <c r="AE29" s="110" t="s">
        <v>202</v>
      </c>
      <c r="AF29" s="110" t="s">
        <v>202</v>
      </c>
      <c r="AG29" s="110" t="s">
        <v>202</v>
      </c>
      <c r="AH29" s="103"/>
      <c r="AI29" s="78">
        <v>0</v>
      </c>
      <c r="AJ29" s="78">
        <v>10000</v>
      </c>
      <c r="AK29" s="78">
        <v>40000</v>
      </c>
      <c r="AL29" s="103"/>
      <c r="AM29" s="469"/>
      <c r="AN29" s="110" t="s">
        <v>202</v>
      </c>
      <c r="AO29" s="110" t="s">
        <v>202</v>
      </c>
      <c r="AP29" s="110" t="s">
        <v>202</v>
      </c>
      <c r="AQ29" s="103"/>
      <c r="AR29" s="78">
        <v>0</v>
      </c>
      <c r="AS29" s="78">
        <v>10000</v>
      </c>
      <c r="AT29" s="78">
        <v>40000</v>
      </c>
      <c r="AV29" s="482"/>
      <c r="AW29" s="109" t="s">
        <v>216</v>
      </c>
      <c r="AX29" s="109" t="s">
        <v>202</v>
      </c>
      <c r="AY29" s="109" t="s">
        <v>202</v>
      </c>
      <c r="BA29" s="277"/>
      <c r="BB29" s="277"/>
      <c r="BC29" s="277"/>
      <c r="BD29" s="277"/>
      <c r="BE29" s="277"/>
      <c r="BF29" s="277"/>
      <c r="BG29" s="277"/>
      <c r="BH29" s="277"/>
      <c r="BI29" s="277"/>
      <c r="BJ29" s="277"/>
      <c r="BK29" s="277"/>
      <c r="BL29" s="277"/>
      <c r="BM29" s="277"/>
      <c r="BN29" s="277"/>
      <c r="BO29" s="277"/>
      <c r="BP29" s="277"/>
      <c r="BQ29" s="277"/>
      <c r="BR29" s="277"/>
      <c r="BS29" s="277"/>
      <c r="BT29" s="277"/>
      <c r="BU29" s="277"/>
      <c r="BV29" s="277"/>
      <c r="BW29" s="277"/>
      <c r="BX29" s="277"/>
      <c r="BY29" s="277"/>
      <c r="BZ29" s="277"/>
      <c r="CA29" s="277"/>
      <c r="CB29" s="277"/>
      <c r="CC29" s="277"/>
      <c r="CD29" s="277"/>
      <c r="CE29" s="277"/>
      <c r="CF29" s="277"/>
      <c r="CG29" s="277"/>
      <c r="CH29" s="277"/>
      <c r="CI29" s="277"/>
      <c r="CJ29" s="277"/>
      <c r="CK29" s="277"/>
      <c r="CL29" s="277"/>
      <c r="CM29" s="277"/>
      <c r="CN29" s="277"/>
      <c r="CO29" s="277"/>
      <c r="CP29" s="277"/>
      <c r="CQ29" s="277"/>
      <c r="CR29" s="277"/>
      <c r="CS29" s="277"/>
      <c r="CT29" s="277"/>
      <c r="CU29" s="277"/>
      <c r="CV29" s="277"/>
      <c r="CW29" s="277"/>
      <c r="CX29" s="277"/>
      <c r="CY29" s="277"/>
      <c r="CZ29" s="277"/>
      <c r="DA29" s="277"/>
      <c r="DB29" s="277"/>
      <c r="DC29" s="277"/>
      <c r="DD29" s="277"/>
      <c r="DE29" s="277"/>
      <c r="DF29" s="277"/>
      <c r="DG29" s="277"/>
      <c r="DH29" s="277"/>
      <c r="DI29" s="277"/>
      <c r="DJ29" s="277"/>
      <c r="DK29" s="277"/>
    </row>
    <row r="30" spans="2:6118" ht="25.5">
      <c r="B30" s="89" t="s">
        <v>127</v>
      </c>
      <c r="C30" s="32" t="s">
        <v>32</v>
      </c>
      <c r="D30" s="32" t="s">
        <v>58</v>
      </c>
      <c r="E30" s="60" t="s">
        <v>59</v>
      </c>
      <c r="F30" s="93" t="s">
        <v>396</v>
      </c>
      <c r="G30" s="93"/>
      <c r="H30" s="79">
        <f ca="1">OPEXtoCAPEX</f>
        <v>0.2</v>
      </c>
      <c r="I30" s="79">
        <f ca="1">OPEXtoCAPEX</f>
        <v>0.2</v>
      </c>
      <c r="J30" s="79">
        <f ca="1">OPEXtoCAPEX</f>
        <v>0.2</v>
      </c>
      <c r="K30" s="93"/>
      <c r="L30" s="477"/>
      <c r="M30" s="110" t="s">
        <v>193</v>
      </c>
      <c r="N30" s="110" t="s">
        <v>193</v>
      </c>
      <c r="O30" s="93"/>
      <c r="P30" s="93"/>
      <c r="Q30" s="79">
        <f ca="1">OPEXtoCAPEX</f>
        <v>0.2</v>
      </c>
      <c r="R30" s="79">
        <f ca="1">OPEXtoCAPEX</f>
        <v>0.2</v>
      </c>
      <c r="S30" s="79">
        <f ca="1">OPEXtoCAPEX</f>
        <v>0.2</v>
      </c>
      <c r="T30" s="92"/>
      <c r="U30" s="469"/>
      <c r="V30" s="110" t="s">
        <v>202</v>
      </c>
      <c r="W30" s="110" t="s">
        <v>202</v>
      </c>
      <c r="X30" s="110" t="s">
        <v>202</v>
      </c>
      <c r="Y30" s="92"/>
      <c r="Z30" s="79">
        <f ca="1">OPEXtoCAPEX</f>
        <v>0.2</v>
      </c>
      <c r="AA30" s="79">
        <f ca="1">OPEXtoCAPEX</f>
        <v>0.2</v>
      </c>
      <c r="AB30" s="79">
        <f ca="1">OPEXtoCAPEX</f>
        <v>0.2</v>
      </c>
      <c r="AC30" s="255"/>
      <c r="AD30" s="469"/>
      <c r="AE30" s="110" t="s">
        <v>202</v>
      </c>
      <c r="AF30" s="110" t="s">
        <v>202</v>
      </c>
      <c r="AG30" s="110" t="s">
        <v>202</v>
      </c>
      <c r="AH30" s="103"/>
      <c r="AI30" s="79">
        <f ca="1">OPEXtoCAPEX</f>
        <v>0.2</v>
      </c>
      <c r="AJ30" s="79">
        <f ca="1">OPEXtoCAPEX</f>
        <v>0.2</v>
      </c>
      <c r="AK30" s="79">
        <f ca="1">OPEXtoCAPEX</f>
        <v>0.2</v>
      </c>
      <c r="AL30" s="103"/>
      <c r="AM30" s="469"/>
      <c r="AN30" s="110" t="s">
        <v>202</v>
      </c>
      <c r="AO30" s="110" t="s">
        <v>202</v>
      </c>
      <c r="AP30" s="110" t="s">
        <v>202</v>
      </c>
      <c r="AQ30" s="103"/>
      <c r="AR30" s="79">
        <f ca="1">OPEXtoCAPEX</f>
        <v>0.2</v>
      </c>
      <c r="AS30" s="79">
        <f ca="1">OPEXtoCAPEX</f>
        <v>0.2</v>
      </c>
      <c r="AT30" s="79">
        <f ca="1">OPEXtoCAPEX</f>
        <v>0.2</v>
      </c>
      <c r="AV30" s="483"/>
      <c r="AW30" s="109" t="s">
        <v>216</v>
      </c>
      <c r="AX30" s="109" t="s">
        <v>202</v>
      </c>
      <c r="AY30" s="109" t="s">
        <v>202</v>
      </c>
      <c r="BA30" s="277"/>
      <c r="BB30" s="277"/>
      <c r="BC30" s="277"/>
      <c r="BD30" s="277"/>
      <c r="BE30" s="277"/>
      <c r="BF30" s="277"/>
      <c r="BG30" s="277"/>
      <c r="BH30" s="277"/>
      <c r="BI30" s="277"/>
      <c r="BJ30" s="277"/>
      <c r="BK30" s="277"/>
      <c r="BL30" s="277"/>
      <c r="BM30" s="277"/>
      <c r="BN30" s="277"/>
      <c r="BO30" s="277"/>
      <c r="BP30" s="277"/>
      <c r="BQ30" s="277"/>
      <c r="BR30" s="277"/>
      <c r="BS30" s="277"/>
      <c r="BT30" s="277"/>
      <c r="BU30" s="277"/>
      <c r="BV30" s="277"/>
      <c r="BW30" s="277"/>
      <c r="BX30" s="277"/>
      <c r="BY30" s="277"/>
      <c r="BZ30" s="277"/>
      <c r="CA30" s="277"/>
      <c r="CB30" s="277"/>
      <c r="CC30" s="277"/>
      <c r="CD30" s="277"/>
      <c r="CE30" s="277"/>
      <c r="CF30" s="277"/>
      <c r="CG30" s="277"/>
      <c r="CH30" s="277"/>
      <c r="CI30" s="277"/>
      <c r="CJ30" s="277"/>
      <c r="CK30" s="277"/>
      <c r="CL30" s="277"/>
      <c r="CM30" s="277"/>
      <c r="CN30" s="277"/>
      <c r="CO30" s="277"/>
      <c r="CP30" s="277"/>
      <c r="CQ30" s="277"/>
      <c r="CR30" s="277"/>
      <c r="CS30" s="277"/>
      <c r="CT30" s="277"/>
      <c r="CU30" s="277"/>
      <c r="CV30" s="277"/>
      <c r="CW30" s="277"/>
      <c r="CX30" s="277"/>
      <c r="CY30" s="277"/>
      <c r="CZ30" s="277"/>
      <c r="DA30" s="277"/>
      <c r="DB30" s="277"/>
      <c r="DC30" s="277"/>
      <c r="DD30" s="277"/>
      <c r="DE30" s="277"/>
      <c r="DF30" s="277"/>
      <c r="DG30" s="277"/>
      <c r="DH30" s="277"/>
      <c r="DI30" s="277"/>
      <c r="DJ30" s="277"/>
      <c r="DK30" s="277"/>
    </row>
    <row r="31" spans="2:6118" ht="63.75" customHeight="1">
      <c r="B31" s="89" t="s">
        <v>127</v>
      </c>
      <c r="C31" s="32" t="s">
        <v>33</v>
      </c>
      <c r="D31" s="32" t="s">
        <v>56</v>
      </c>
      <c r="E31" s="32" t="s">
        <v>57</v>
      </c>
      <c r="F31" s="107" t="s">
        <v>401</v>
      </c>
      <c r="G31" s="107"/>
      <c r="H31" s="78">
        <v>0</v>
      </c>
      <c r="I31" s="78">
        <v>70</v>
      </c>
      <c r="J31" s="78">
        <v>150</v>
      </c>
      <c r="K31" s="106"/>
      <c r="L31" s="469" t="s">
        <v>89</v>
      </c>
      <c r="M31" s="110" t="s">
        <v>90</v>
      </c>
      <c r="N31" s="108" t="s">
        <v>91</v>
      </c>
      <c r="O31" s="108" t="s">
        <v>92</v>
      </c>
      <c r="P31" s="106"/>
      <c r="Q31" s="78">
        <v>0</v>
      </c>
      <c r="R31" s="78">
        <v>70</v>
      </c>
      <c r="S31" s="78">
        <v>150</v>
      </c>
      <c r="T31" s="105"/>
      <c r="U31" s="469" t="s">
        <v>106</v>
      </c>
      <c r="V31" s="110" t="s">
        <v>202</v>
      </c>
      <c r="W31" s="110" t="s">
        <v>202</v>
      </c>
      <c r="X31" s="110" t="s">
        <v>202</v>
      </c>
      <c r="Y31" s="105"/>
      <c r="Z31" s="78">
        <v>0</v>
      </c>
      <c r="AA31" s="78">
        <v>70</v>
      </c>
      <c r="AB31" s="78">
        <v>150</v>
      </c>
      <c r="AC31" s="255"/>
      <c r="AD31" s="469" t="s">
        <v>106</v>
      </c>
      <c r="AE31" s="110" t="s">
        <v>202</v>
      </c>
      <c r="AF31" s="110" t="s">
        <v>202</v>
      </c>
      <c r="AG31" s="110" t="s">
        <v>202</v>
      </c>
      <c r="AH31" s="103"/>
      <c r="AI31" s="78">
        <v>0</v>
      </c>
      <c r="AJ31" s="78">
        <v>70</v>
      </c>
      <c r="AK31" s="78">
        <v>150</v>
      </c>
      <c r="AL31" s="103"/>
      <c r="AM31" s="469" t="s">
        <v>106</v>
      </c>
      <c r="AN31" s="110" t="s">
        <v>202</v>
      </c>
      <c r="AO31" s="110" t="s">
        <v>202</v>
      </c>
      <c r="AP31" s="110" t="s">
        <v>202</v>
      </c>
      <c r="AQ31" s="103"/>
      <c r="AR31" s="78">
        <v>0</v>
      </c>
      <c r="AS31" s="78">
        <v>70</v>
      </c>
      <c r="AT31" s="78">
        <v>150</v>
      </c>
      <c r="AV31" s="481" t="s">
        <v>106</v>
      </c>
      <c r="AW31" s="109" t="s">
        <v>216</v>
      </c>
      <c r="AX31" s="109" t="s">
        <v>215</v>
      </c>
      <c r="AY31" s="109" t="s">
        <v>215</v>
      </c>
      <c r="BA31" s="277"/>
      <c r="BB31" s="277"/>
      <c r="BC31" s="277"/>
      <c r="BD31" s="277"/>
      <c r="BE31" s="277"/>
      <c r="BF31" s="277"/>
      <c r="BG31" s="277"/>
      <c r="BH31" s="277"/>
      <c r="BI31" s="277"/>
      <c r="BJ31" s="277"/>
      <c r="BK31" s="277"/>
      <c r="BL31" s="277"/>
      <c r="BM31" s="277"/>
      <c r="BN31" s="277"/>
      <c r="BO31" s="277"/>
      <c r="BP31" s="277"/>
      <c r="BQ31" s="277"/>
      <c r="BR31" s="277"/>
      <c r="BS31" s="277"/>
      <c r="BT31" s="277"/>
      <c r="BU31" s="277"/>
      <c r="BV31" s="277"/>
      <c r="BW31" s="277"/>
      <c r="BX31" s="277"/>
      <c r="BY31" s="277"/>
      <c r="BZ31" s="277"/>
      <c r="CA31" s="277"/>
      <c r="CB31" s="277"/>
      <c r="CC31" s="277"/>
      <c r="CD31" s="277"/>
      <c r="CE31" s="277"/>
      <c r="CF31" s="277"/>
      <c r="CG31" s="277"/>
      <c r="CH31" s="277"/>
      <c r="CI31" s="277"/>
      <c r="CJ31" s="277"/>
      <c r="CK31" s="277"/>
      <c r="CL31" s="277"/>
      <c r="CM31" s="277"/>
      <c r="CN31" s="277"/>
      <c r="CO31" s="277"/>
      <c r="CP31" s="277"/>
      <c r="CQ31" s="277"/>
      <c r="CR31" s="277"/>
      <c r="CS31" s="277"/>
      <c r="CT31" s="277"/>
      <c r="CU31" s="277"/>
      <c r="CV31" s="277"/>
      <c r="CW31" s="277"/>
      <c r="CX31" s="277"/>
      <c r="CY31" s="277"/>
      <c r="CZ31" s="277"/>
      <c r="DA31" s="277"/>
      <c r="DB31" s="277"/>
      <c r="DC31" s="277"/>
      <c r="DD31" s="277"/>
      <c r="DE31" s="277"/>
      <c r="DF31" s="277"/>
      <c r="DG31" s="277"/>
      <c r="DH31" s="277"/>
      <c r="DI31" s="277"/>
      <c r="DJ31" s="277"/>
      <c r="DK31" s="277"/>
    </row>
    <row r="32" spans="2:6118" ht="25.5">
      <c r="B32" s="89" t="s">
        <v>127</v>
      </c>
      <c r="C32" s="32" t="s">
        <v>33</v>
      </c>
      <c r="D32" s="32" t="s">
        <v>29</v>
      </c>
      <c r="E32" s="32" t="s">
        <v>57</v>
      </c>
      <c r="F32" s="93" t="s">
        <v>402</v>
      </c>
      <c r="G32" s="93"/>
      <c r="H32" s="78">
        <v>0</v>
      </c>
      <c r="I32" s="78">
        <v>0</v>
      </c>
      <c r="J32" s="78">
        <v>0</v>
      </c>
      <c r="K32" s="93"/>
      <c r="L32" s="469"/>
      <c r="M32" s="110" t="s">
        <v>194</v>
      </c>
      <c r="N32" s="110" t="s">
        <v>194</v>
      </c>
      <c r="O32" s="110" t="s">
        <v>194</v>
      </c>
      <c r="P32" s="93"/>
      <c r="Q32" s="78">
        <v>0</v>
      </c>
      <c r="R32" s="78">
        <v>0</v>
      </c>
      <c r="S32" s="78">
        <v>0</v>
      </c>
      <c r="T32" s="106"/>
      <c r="U32" s="469"/>
      <c r="V32" s="110" t="s">
        <v>202</v>
      </c>
      <c r="W32" s="110" t="s">
        <v>202</v>
      </c>
      <c r="X32" s="110" t="s">
        <v>202</v>
      </c>
      <c r="Y32" s="106"/>
      <c r="Z32" s="78">
        <v>0</v>
      </c>
      <c r="AA32" s="78">
        <v>0</v>
      </c>
      <c r="AB32" s="78">
        <v>0</v>
      </c>
      <c r="AC32" s="255"/>
      <c r="AD32" s="469"/>
      <c r="AE32" s="110" t="s">
        <v>202</v>
      </c>
      <c r="AF32" s="110" t="s">
        <v>202</v>
      </c>
      <c r="AG32" s="110" t="s">
        <v>202</v>
      </c>
      <c r="AH32" s="103"/>
      <c r="AI32" s="78">
        <v>0</v>
      </c>
      <c r="AJ32" s="78">
        <v>0</v>
      </c>
      <c r="AK32" s="78">
        <v>0</v>
      </c>
      <c r="AL32" s="103"/>
      <c r="AM32" s="469"/>
      <c r="AN32" s="110" t="s">
        <v>202</v>
      </c>
      <c r="AO32" s="110" t="s">
        <v>202</v>
      </c>
      <c r="AP32" s="110" t="s">
        <v>202</v>
      </c>
      <c r="AQ32" s="103"/>
      <c r="AR32" s="78">
        <v>0</v>
      </c>
      <c r="AS32" s="78">
        <v>0</v>
      </c>
      <c r="AT32" s="78">
        <v>0</v>
      </c>
      <c r="AV32" s="482"/>
      <c r="AW32" s="109" t="s">
        <v>216</v>
      </c>
      <c r="AX32" s="109" t="s">
        <v>202</v>
      </c>
      <c r="AY32" s="109" t="s">
        <v>202</v>
      </c>
      <c r="BA32" s="277"/>
      <c r="BB32" s="277"/>
      <c r="BC32" s="277"/>
      <c r="BD32" s="277"/>
      <c r="BE32" s="277"/>
      <c r="BF32" s="277"/>
      <c r="BG32" s="277"/>
      <c r="BH32" s="277"/>
      <c r="BI32" s="277"/>
      <c r="BJ32" s="277"/>
      <c r="BK32" s="277"/>
      <c r="BL32" s="277"/>
      <c r="BM32" s="277"/>
      <c r="BN32" s="277"/>
      <c r="BO32" s="277"/>
      <c r="BP32" s="277"/>
      <c r="BQ32" s="277"/>
      <c r="BR32" s="277"/>
      <c r="BS32" s="277"/>
      <c r="BT32" s="277"/>
      <c r="BU32" s="277"/>
      <c r="BV32" s="277"/>
      <c r="BW32" s="277"/>
      <c r="BX32" s="277"/>
      <c r="BY32" s="277"/>
      <c r="BZ32" s="277"/>
      <c r="CA32" s="277"/>
      <c r="CB32" s="277"/>
      <c r="CC32" s="277"/>
      <c r="CD32" s="277"/>
      <c r="CE32" s="277"/>
      <c r="CF32" s="277"/>
      <c r="CG32" s="277"/>
      <c r="CH32" s="277"/>
      <c r="CI32" s="277"/>
      <c r="CJ32" s="277"/>
      <c r="CK32" s="277"/>
      <c r="CL32" s="277"/>
      <c r="CM32" s="277"/>
      <c r="CN32" s="277"/>
      <c r="CO32" s="277"/>
      <c r="CP32" s="277"/>
      <c r="CQ32" s="277"/>
      <c r="CR32" s="277"/>
      <c r="CS32" s="277"/>
      <c r="CT32" s="277"/>
      <c r="CU32" s="277"/>
      <c r="CV32" s="277"/>
      <c r="CW32" s="277"/>
      <c r="CX32" s="277"/>
      <c r="CY32" s="277"/>
      <c r="CZ32" s="277"/>
      <c r="DA32" s="277"/>
      <c r="DB32" s="277"/>
      <c r="DC32" s="277"/>
      <c r="DD32" s="277"/>
      <c r="DE32" s="277"/>
      <c r="DF32" s="277"/>
      <c r="DG32" s="277"/>
      <c r="DH32" s="277"/>
      <c r="DI32" s="277"/>
      <c r="DJ32" s="277"/>
      <c r="DK32" s="277"/>
    </row>
    <row r="33" spans="2:115" ht="15" customHeight="1">
      <c r="B33" s="89" t="s">
        <v>127</v>
      </c>
      <c r="C33" s="32" t="s">
        <v>33</v>
      </c>
      <c r="D33" s="32" t="s">
        <v>58</v>
      </c>
      <c r="E33" s="60" t="s">
        <v>59</v>
      </c>
      <c r="F33" s="93" t="s">
        <v>129</v>
      </c>
      <c r="G33" s="93"/>
      <c r="H33" s="79">
        <f ca="1">OPEXtoCAPEX</f>
        <v>0.2</v>
      </c>
      <c r="I33" s="79">
        <f ca="1">OPEXtoCAPEX</f>
        <v>0.2</v>
      </c>
      <c r="J33" s="79">
        <f ca="1">OPEXtoCAPEX</f>
        <v>0.2</v>
      </c>
      <c r="K33" s="93"/>
      <c r="L33" s="469"/>
      <c r="M33" s="110" t="s">
        <v>195</v>
      </c>
      <c r="N33" s="110" t="s">
        <v>195</v>
      </c>
      <c r="O33" s="110" t="s">
        <v>195</v>
      </c>
      <c r="P33" s="93"/>
      <c r="Q33" s="79">
        <f ca="1">OPEXtoCAPEX</f>
        <v>0.2</v>
      </c>
      <c r="R33" s="79">
        <f ca="1">OPEXtoCAPEX</f>
        <v>0.2</v>
      </c>
      <c r="S33" s="79">
        <f ca="1">OPEXtoCAPEX</f>
        <v>0.2</v>
      </c>
      <c r="T33" s="93"/>
      <c r="U33" s="469"/>
      <c r="V33" s="110" t="s">
        <v>202</v>
      </c>
      <c r="W33" s="110" t="s">
        <v>202</v>
      </c>
      <c r="X33" s="110" t="s">
        <v>202</v>
      </c>
      <c r="Y33" s="93"/>
      <c r="Z33" s="79">
        <f ca="1">OPEXtoCAPEX</f>
        <v>0.2</v>
      </c>
      <c r="AA33" s="79">
        <f ca="1">OPEXtoCAPEX</f>
        <v>0.2</v>
      </c>
      <c r="AB33" s="79">
        <f ca="1">OPEXtoCAPEX</f>
        <v>0.2</v>
      </c>
      <c r="AC33" s="255"/>
      <c r="AD33" s="469"/>
      <c r="AE33" s="110" t="s">
        <v>202</v>
      </c>
      <c r="AF33" s="110" t="s">
        <v>202</v>
      </c>
      <c r="AG33" s="110" t="s">
        <v>202</v>
      </c>
      <c r="AH33" s="103"/>
      <c r="AI33" s="79">
        <f ca="1">OPEXtoCAPEX</f>
        <v>0.2</v>
      </c>
      <c r="AJ33" s="79">
        <f ca="1">OPEXtoCAPEX</f>
        <v>0.2</v>
      </c>
      <c r="AK33" s="79">
        <f ca="1">OPEXtoCAPEX</f>
        <v>0.2</v>
      </c>
      <c r="AL33" s="103"/>
      <c r="AM33" s="469"/>
      <c r="AN33" s="110" t="s">
        <v>202</v>
      </c>
      <c r="AO33" s="110" t="s">
        <v>202</v>
      </c>
      <c r="AP33" s="110" t="s">
        <v>202</v>
      </c>
      <c r="AQ33" s="103"/>
      <c r="AR33" s="79">
        <f ca="1">OPEXtoCAPEX</f>
        <v>0.2</v>
      </c>
      <c r="AS33" s="79">
        <f ca="1">OPEXtoCAPEX</f>
        <v>0.2</v>
      </c>
      <c r="AT33" s="79">
        <f ca="1">OPEXtoCAPEX</f>
        <v>0.2</v>
      </c>
      <c r="AV33" s="483"/>
      <c r="AW33" s="109" t="s">
        <v>216</v>
      </c>
      <c r="AX33" s="109" t="s">
        <v>202</v>
      </c>
      <c r="AY33" s="109" t="s">
        <v>202</v>
      </c>
      <c r="BA33" s="277"/>
      <c r="BB33" s="277"/>
      <c r="BC33" s="277"/>
      <c r="BD33" s="277"/>
      <c r="BE33" s="277"/>
      <c r="BF33" s="277"/>
      <c r="BG33" s="277"/>
      <c r="BH33" s="277"/>
      <c r="BI33" s="277"/>
      <c r="BJ33" s="277"/>
      <c r="BK33" s="277"/>
      <c r="BL33" s="277"/>
      <c r="BM33" s="277"/>
      <c r="BN33" s="277"/>
      <c r="BO33" s="277"/>
      <c r="BP33" s="277"/>
      <c r="BQ33" s="277"/>
      <c r="BR33" s="277"/>
      <c r="BS33" s="277"/>
      <c r="BT33" s="277"/>
      <c r="BU33" s="277"/>
      <c r="BV33" s="277"/>
      <c r="BW33" s="277"/>
      <c r="BX33" s="277"/>
      <c r="BY33" s="277"/>
      <c r="BZ33" s="277"/>
      <c r="CA33" s="277"/>
      <c r="CB33" s="277"/>
      <c r="CC33" s="277"/>
      <c r="CD33" s="277"/>
      <c r="CE33" s="277"/>
      <c r="CF33" s="277"/>
      <c r="CG33" s="277"/>
      <c r="CH33" s="277"/>
      <c r="CI33" s="277"/>
      <c r="CJ33" s="277"/>
      <c r="CK33" s="277"/>
      <c r="CL33" s="277"/>
      <c r="CM33" s="277"/>
      <c r="CN33" s="277"/>
      <c r="CO33" s="277"/>
      <c r="CP33" s="277"/>
      <c r="CQ33" s="277"/>
      <c r="CR33" s="277"/>
      <c r="CS33" s="277"/>
      <c r="CT33" s="277"/>
      <c r="CU33" s="277"/>
      <c r="CV33" s="277"/>
      <c r="CW33" s="277"/>
      <c r="CX33" s="277"/>
      <c r="CY33" s="277"/>
      <c r="CZ33" s="277"/>
      <c r="DA33" s="277"/>
      <c r="DB33" s="277"/>
      <c r="DC33" s="277"/>
      <c r="DD33" s="277"/>
      <c r="DE33" s="277"/>
      <c r="DF33" s="277"/>
      <c r="DG33" s="277"/>
      <c r="DH33" s="277"/>
      <c r="DI33" s="277"/>
      <c r="DJ33" s="277"/>
      <c r="DK33" s="277"/>
    </row>
    <row r="34" spans="2:115" ht="51" customHeight="1">
      <c r="B34" s="89" t="s">
        <v>127</v>
      </c>
      <c r="C34" s="32" t="s">
        <v>34</v>
      </c>
      <c r="D34" s="32" t="s">
        <v>56</v>
      </c>
      <c r="E34" s="32" t="s">
        <v>57</v>
      </c>
      <c r="F34" s="106" t="s">
        <v>403</v>
      </c>
      <c r="G34" s="106"/>
      <c r="H34" s="78">
        <v>0</v>
      </c>
      <c r="I34" s="78">
        <v>70</v>
      </c>
      <c r="J34" s="78">
        <v>150</v>
      </c>
      <c r="K34" s="106"/>
      <c r="L34" s="469" t="s">
        <v>93</v>
      </c>
      <c r="M34" s="110" t="s">
        <v>94</v>
      </c>
      <c r="N34" s="178" t="s">
        <v>257</v>
      </c>
      <c r="O34" s="178" t="s">
        <v>261</v>
      </c>
      <c r="P34" s="106"/>
      <c r="Q34" s="78">
        <v>0</v>
      </c>
      <c r="R34" s="78">
        <v>70</v>
      </c>
      <c r="S34" s="78">
        <v>150</v>
      </c>
      <c r="T34" s="93"/>
      <c r="U34" s="469" t="s">
        <v>107</v>
      </c>
      <c r="V34" s="110" t="s">
        <v>202</v>
      </c>
      <c r="W34" s="110" t="s">
        <v>202</v>
      </c>
      <c r="X34" s="110" t="s">
        <v>202</v>
      </c>
      <c r="Y34" s="93"/>
      <c r="Z34" s="78">
        <v>0</v>
      </c>
      <c r="AA34" s="78">
        <v>70</v>
      </c>
      <c r="AB34" s="78">
        <v>150</v>
      </c>
      <c r="AC34" s="255"/>
      <c r="AD34" s="469" t="s">
        <v>107</v>
      </c>
      <c r="AE34" s="110" t="s">
        <v>202</v>
      </c>
      <c r="AF34" s="110" t="s">
        <v>202</v>
      </c>
      <c r="AG34" s="110" t="s">
        <v>202</v>
      </c>
      <c r="AH34" s="103"/>
      <c r="AI34" s="78">
        <v>0</v>
      </c>
      <c r="AJ34" s="78">
        <v>70</v>
      </c>
      <c r="AK34" s="78">
        <v>150</v>
      </c>
      <c r="AL34" s="103"/>
      <c r="AM34" s="469" t="s">
        <v>107</v>
      </c>
      <c r="AN34" s="110" t="s">
        <v>202</v>
      </c>
      <c r="AO34" s="110" t="s">
        <v>202</v>
      </c>
      <c r="AP34" s="110" t="s">
        <v>202</v>
      </c>
      <c r="AQ34" s="103"/>
      <c r="AR34" s="78">
        <v>0</v>
      </c>
      <c r="AS34" s="78">
        <v>70</v>
      </c>
      <c r="AT34" s="78">
        <v>150</v>
      </c>
      <c r="AV34" s="481" t="s">
        <v>107</v>
      </c>
      <c r="AW34" s="109" t="s">
        <v>216</v>
      </c>
      <c r="AX34" s="109" t="s">
        <v>215</v>
      </c>
      <c r="AY34" s="109" t="s">
        <v>215</v>
      </c>
      <c r="BA34" s="277"/>
      <c r="BB34" s="277"/>
      <c r="BC34" s="277"/>
      <c r="BD34" s="277"/>
      <c r="BE34" s="277"/>
      <c r="BF34" s="277"/>
      <c r="BG34" s="277"/>
      <c r="BH34" s="277"/>
      <c r="BI34" s="277"/>
      <c r="BJ34" s="277"/>
      <c r="BK34" s="277"/>
      <c r="BL34" s="277"/>
      <c r="BM34" s="277"/>
      <c r="BN34" s="277"/>
      <c r="BO34" s="277"/>
      <c r="BP34" s="277"/>
      <c r="BQ34" s="277"/>
      <c r="BR34" s="277"/>
      <c r="BS34" s="277"/>
      <c r="BT34" s="277"/>
      <c r="BU34" s="277"/>
      <c r="BV34" s="277"/>
      <c r="BW34" s="277"/>
      <c r="BX34" s="277"/>
      <c r="BY34" s="277"/>
      <c r="BZ34" s="277"/>
      <c r="CA34" s="277"/>
      <c r="CB34" s="277"/>
      <c r="CC34" s="277"/>
      <c r="CD34" s="277"/>
      <c r="CE34" s="277"/>
      <c r="CF34" s="277"/>
      <c r="CG34" s="277"/>
      <c r="CH34" s="277"/>
      <c r="CI34" s="277"/>
      <c r="CJ34" s="277"/>
      <c r="CK34" s="277"/>
      <c r="CL34" s="277"/>
      <c r="CM34" s="277"/>
      <c r="CN34" s="277"/>
      <c r="CO34" s="277"/>
      <c r="CP34" s="277"/>
      <c r="CQ34" s="277"/>
      <c r="CR34" s="277"/>
      <c r="CS34" s="277"/>
      <c r="CT34" s="277"/>
      <c r="CU34" s="277"/>
      <c r="CV34" s="277"/>
      <c r="CW34" s="277"/>
      <c r="CX34" s="277"/>
      <c r="CY34" s="277"/>
      <c r="CZ34" s="277"/>
      <c r="DA34" s="277"/>
      <c r="DB34" s="277"/>
      <c r="DC34" s="277"/>
      <c r="DD34" s="277"/>
      <c r="DE34" s="277"/>
      <c r="DF34" s="277"/>
      <c r="DG34" s="277"/>
      <c r="DH34" s="277"/>
      <c r="DI34" s="277"/>
      <c r="DJ34" s="277"/>
      <c r="DK34" s="277"/>
    </row>
    <row r="35" spans="2:115" ht="25.5">
      <c r="B35" s="89" t="s">
        <v>127</v>
      </c>
      <c r="C35" s="32" t="s">
        <v>34</v>
      </c>
      <c r="D35" s="32" t="s">
        <v>29</v>
      </c>
      <c r="E35" s="32" t="s">
        <v>57</v>
      </c>
      <c r="F35" s="93" t="s">
        <v>404</v>
      </c>
      <c r="G35" s="93"/>
      <c r="H35" s="78">
        <v>0</v>
      </c>
      <c r="I35" s="78">
        <v>0</v>
      </c>
      <c r="J35" s="78">
        <v>0</v>
      </c>
      <c r="K35" s="93"/>
      <c r="L35" s="469"/>
      <c r="M35" s="110" t="s">
        <v>194</v>
      </c>
      <c r="N35" s="110" t="s">
        <v>194</v>
      </c>
      <c r="O35" s="110" t="s">
        <v>194</v>
      </c>
      <c r="P35" s="93"/>
      <c r="Q35" s="78">
        <v>0</v>
      </c>
      <c r="R35" s="78">
        <v>0</v>
      </c>
      <c r="S35" s="78">
        <v>0</v>
      </c>
      <c r="T35" s="107"/>
      <c r="U35" s="469"/>
      <c r="V35" s="110" t="s">
        <v>202</v>
      </c>
      <c r="W35" s="110" t="s">
        <v>202</v>
      </c>
      <c r="X35" s="110" t="s">
        <v>202</v>
      </c>
      <c r="Y35" s="107"/>
      <c r="Z35" s="78">
        <v>0</v>
      </c>
      <c r="AA35" s="78">
        <v>0</v>
      </c>
      <c r="AB35" s="78">
        <v>0</v>
      </c>
      <c r="AC35" s="255"/>
      <c r="AD35" s="469"/>
      <c r="AE35" s="110" t="s">
        <v>202</v>
      </c>
      <c r="AF35" s="110" t="s">
        <v>202</v>
      </c>
      <c r="AG35" s="110" t="s">
        <v>202</v>
      </c>
      <c r="AH35" s="103"/>
      <c r="AI35" s="78">
        <v>0</v>
      </c>
      <c r="AJ35" s="78">
        <v>0</v>
      </c>
      <c r="AK35" s="78">
        <v>0</v>
      </c>
      <c r="AL35" s="103"/>
      <c r="AM35" s="469"/>
      <c r="AN35" s="110" t="s">
        <v>202</v>
      </c>
      <c r="AO35" s="110" t="s">
        <v>202</v>
      </c>
      <c r="AP35" s="110" t="s">
        <v>202</v>
      </c>
      <c r="AQ35" s="103"/>
      <c r="AR35" s="78">
        <v>0</v>
      </c>
      <c r="AS35" s="78">
        <v>0</v>
      </c>
      <c r="AT35" s="78">
        <v>0</v>
      </c>
      <c r="AV35" s="482"/>
      <c r="AW35" s="109" t="s">
        <v>216</v>
      </c>
      <c r="AX35" s="109" t="s">
        <v>202</v>
      </c>
      <c r="AY35" s="109" t="s">
        <v>202</v>
      </c>
      <c r="BA35" s="277"/>
      <c r="BB35" s="277"/>
      <c r="BC35" s="277"/>
      <c r="BD35" s="277"/>
      <c r="BE35" s="277"/>
      <c r="BF35" s="277"/>
      <c r="BG35" s="277"/>
      <c r="BH35" s="277"/>
      <c r="BI35" s="277"/>
      <c r="BJ35" s="277"/>
      <c r="BK35" s="277"/>
      <c r="BL35" s="277"/>
      <c r="BM35" s="277"/>
      <c r="BN35" s="277"/>
      <c r="BO35" s="277"/>
      <c r="BP35" s="277"/>
      <c r="BQ35" s="277"/>
      <c r="BR35" s="277"/>
      <c r="BS35" s="277"/>
      <c r="BT35" s="277"/>
      <c r="BU35" s="277"/>
      <c r="BV35" s="277"/>
      <c r="BW35" s="277"/>
      <c r="BX35" s="277"/>
      <c r="BY35" s="277"/>
      <c r="BZ35" s="277"/>
      <c r="CA35" s="277"/>
      <c r="CB35" s="277"/>
      <c r="CC35" s="277"/>
      <c r="CD35" s="277"/>
      <c r="CE35" s="277"/>
      <c r="CF35" s="277"/>
      <c r="CG35" s="277"/>
      <c r="CH35" s="277"/>
      <c r="CI35" s="277"/>
      <c r="CJ35" s="277"/>
      <c r="CK35" s="277"/>
      <c r="CL35" s="277"/>
      <c r="CM35" s="277"/>
      <c r="CN35" s="277"/>
      <c r="CO35" s="277"/>
      <c r="CP35" s="277"/>
      <c r="CQ35" s="277"/>
      <c r="CR35" s="277"/>
      <c r="CS35" s="277"/>
      <c r="CT35" s="277"/>
      <c r="CU35" s="277"/>
      <c r="CV35" s="277"/>
      <c r="CW35" s="277"/>
      <c r="CX35" s="277"/>
      <c r="CY35" s="277"/>
      <c r="CZ35" s="277"/>
      <c r="DA35" s="277"/>
      <c r="DB35" s="277"/>
      <c r="DC35" s="277"/>
      <c r="DD35" s="277"/>
      <c r="DE35" s="277"/>
      <c r="DF35" s="277"/>
      <c r="DG35" s="277"/>
      <c r="DH35" s="277"/>
      <c r="DI35" s="277"/>
      <c r="DJ35" s="277"/>
      <c r="DK35" s="277"/>
    </row>
    <row r="36" spans="2:115" ht="25.5">
      <c r="B36" s="89" t="s">
        <v>127</v>
      </c>
      <c r="C36" s="32" t="s">
        <v>34</v>
      </c>
      <c r="D36" s="32" t="s">
        <v>58</v>
      </c>
      <c r="E36" s="60" t="s">
        <v>59</v>
      </c>
      <c r="F36" s="93" t="s">
        <v>405</v>
      </c>
      <c r="G36" s="93"/>
      <c r="H36" s="79">
        <f ca="1">OPEXtoCAPEX</f>
        <v>0.2</v>
      </c>
      <c r="I36" s="79">
        <f ca="1">OPEXtoCAPEX</f>
        <v>0.2</v>
      </c>
      <c r="J36" s="79">
        <f ca="1">OPEXtoCAPEX</f>
        <v>0.2</v>
      </c>
      <c r="K36" s="93"/>
      <c r="L36" s="469"/>
      <c r="M36" s="110" t="s">
        <v>195</v>
      </c>
      <c r="N36" s="110" t="s">
        <v>195</v>
      </c>
      <c r="O36" s="110" t="s">
        <v>195</v>
      </c>
      <c r="P36" s="93"/>
      <c r="Q36" s="79">
        <f ca="1">OPEXtoCAPEX</f>
        <v>0.2</v>
      </c>
      <c r="R36" s="79">
        <f ca="1">OPEXtoCAPEX</f>
        <v>0.2</v>
      </c>
      <c r="S36" s="79">
        <f ca="1">OPEXtoCAPEX</f>
        <v>0.2</v>
      </c>
      <c r="T36" s="93"/>
      <c r="U36" s="469"/>
      <c r="V36" s="110" t="s">
        <v>202</v>
      </c>
      <c r="W36" s="110" t="s">
        <v>202</v>
      </c>
      <c r="X36" s="110" t="s">
        <v>202</v>
      </c>
      <c r="Y36" s="93"/>
      <c r="Z36" s="79">
        <f ca="1">OPEXtoCAPEX</f>
        <v>0.2</v>
      </c>
      <c r="AA36" s="79">
        <f ca="1">OPEXtoCAPEX</f>
        <v>0.2</v>
      </c>
      <c r="AB36" s="79">
        <f ca="1">OPEXtoCAPEX</f>
        <v>0.2</v>
      </c>
      <c r="AC36" s="255"/>
      <c r="AD36" s="469"/>
      <c r="AE36" s="110" t="s">
        <v>202</v>
      </c>
      <c r="AF36" s="110" t="s">
        <v>202</v>
      </c>
      <c r="AG36" s="110" t="s">
        <v>202</v>
      </c>
      <c r="AH36" s="103"/>
      <c r="AI36" s="79">
        <f ca="1">OPEXtoCAPEX</f>
        <v>0.2</v>
      </c>
      <c r="AJ36" s="79">
        <f ca="1">OPEXtoCAPEX</f>
        <v>0.2</v>
      </c>
      <c r="AK36" s="79">
        <f ca="1">OPEXtoCAPEX</f>
        <v>0.2</v>
      </c>
      <c r="AL36" s="103"/>
      <c r="AM36" s="469"/>
      <c r="AN36" s="110" t="s">
        <v>202</v>
      </c>
      <c r="AO36" s="110" t="s">
        <v>202</v>
      </c>
      <c r="AP36" s="110" t="s">
        <v>202</v>
      </c>
      <c r="AQ36" s="103"/>
      <c r="AR36" s="79">
        <f ca="1">OPEXtoCAPEX</f>
        <v>0.2</v>
      </c>
      <c r="AS36" s="79">
        <f ca="1">OPEXtoCAPEX</f>
        <v>0.2</v>
      </c>
      <c r="AT36" s="79">
        <f ca="1">OPEXtoCAPEX</f>
        <v>0.2</v>
      </c>
      <c r="AV36" s="483"/>
      <c r="AW36" s="109" t="s">
        <v>216</v>
      </c>
      <c r="AX36" s="109" t="s">
        <v>202</v>
      </c>
      <c r="AY36" s="109" t="s">
        <v>202</v>
      </c>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7"/>
      <c r="BW36" s="277"/>
      <c r="BX36" s="277"/>
      <c r="BY36" s="277"/>
      <c r="BZ36" s="277"/>
      <c r="CA36" s="277"/>
      <c r="CB36" s="277"/>
      <c r="CC36" s="277"/>
      <c r="CD36" s="277"/>
      <c r="CE36" s="277"/>
      <c r="CF36" s="277"/>
      <c r="CG36" s="277"/>
      <c r="CH36" s="277"/>
      <c r="CI36" s="277"/>
      <c r="CJ36" s="277"/>
      <c r="CK36" s="277"/>
      <c r="CL36" s="277"/>
      <c r="CM36" s="277"/>
      <c r="CN36" s="277"/>
      <c r="CO36" s="277"/>
      <c r="CP36" s="277"/>
      <c r="CQ36" s="277"/>
      <c r="CR36" s="277"/>
      <c r="CS36" s="277"/>
      <c r="CT36" s="277"/>
      <c r="CU36" s="277"/>
      <c r="CV36" s="277"/>
      <c r="CW36" s="277"/>
      <c r="CX36" s="277"/>
      <c r="CY36" s="277"/>
      <c r="CZ36" s="277"/>
      <c r="DA36" s="277"/>
      <c r="DB36" s="277"/>
      <c r="DC36" s="277"/>
      <c r="DD36" s="277"/>
      <c r="DE36" s="277"/>
      <c r="DF36" s="277"/>
      <c r="DG36" s="277"/>
      <c r="DH36" s="277"/>
      <c r="DI36" s="277"/>
      <c r="DJ36" s="277"/>
      <c r="DK36" s="277"/>
    </row>
    <row r="37" spans="2:115" ht="89.25" customHeight="1">
      <c r="B37" s="89" t="s">
        <v>127</v>
      </c>
      <c r="C37" s="32" t="s">
        <v>35</v>
      </c>
      <c r="D37" s="32" t="s">
        <v>56</v>
      </c>
      <c r="E37" s="32" t="s">
        <v>57</v>
      </c>
      <c r="F37" s="93" t="s">
        <v>406</v>
      </c>
      <c r="G37" s="93"/>
      <c r="H37" s="78">
        <v>0</v>
      </c>
      <c r="I37" s="78">
        <v>20</v>
      </c>
      <c r="J37" s="78">
        <v>60</v>
      </c>
      <c r="K37" s="93"/>
      <c r="L37" s="470" t="s">
        <v>95</v>
      </c>
      <c r="M37" s="110" t="s">
        <v>96</v>
      </c>
      <c r="N37" s="108" t="s">
        <v>97</v>
      </c>
      <c r="O37" s="108" t="s">
        <v>98</v>
      </c>
      <c r="P37" s="93"/>
      <c r="Q37" s="78">
        <v>0</v>
      </c>
      <c r="R37" s="78">
        <v>20</v>
      </c>
      <c r="S37" s="78">
        <v>60</v>
      </c>
      <c r="T37" s="93"/>
      <c r="U37" s="470" t="s">
        <v>95</v>
      </c>
      <c r="V37" s="110" t="s">
        <v>202</v>
      </c>
      <c r="W37" s="110" t="s">
        <v>202</v>
      </c>
      <c r="X37" s="110" t="s">
        <v>202</v>
      </c>
      <c r="Y37" s="93"/>
      <c r="Z37" s="78">
        <v>0</v>
      </c>
      <c r="AA37" s="78">
        <v>20</v>
      </c>
      <c r="AB37" s="78">
        <v>60</v>
      </c>
      <c r="AC37" s="255"/>
      <c r="AD37" s="470" t="s">
        <v>95</v>
      </c>
      <c r="AE37" s="110" t="s">
        <v>202</v>
      </c>
      <c r="AF37" s="110" t="s">
        <v>202</v>
      </c>
      <c r="AG37" s="110" t="s">
        <v>202</v>
      </c>
      <c r="AH37" s="103"/>
      <c r="AI37" s="78">
        <v>0</v>
      </c>
      <c r="AJ37" s="78">
        <v>20</v>
      </c>
      <c r="AK37" s="78">
        <v>60</v>
      </c>
      <c r="AL37" s="103"/>
      <c r="AM37" s="470" t="s">
        <v>95</v>
      </c>
      <c r="AN37" s="110" t="s">
        <v>202</v>
      </c>
      <c r="AO37" s="110" t="s">
        <v>202</v>
      </c>
      <c r="AP37" s="110" t="s">
        <v>202</v>
      </c>
      <c r="AQ37" s="103"/>
      <c r="AR37" s="78">
        <v>0</v>
      </c>
      <c r="AS37" s="78">
        <v>10</v>
      </c>
      <c r="AT37" s="78">
        <v>40</v>
      </c>
      <c r="AV37" s="484" t="s">
        <v>95</v>
      </c>
      <c r="AW37" s="109" t="s">
        <v>216</v>
      </c>
      <c r="AX37" s="109" t="s">
        <v>215</v>
      </c>
      <c r="AY37" s="109" t="s">
        <v>215</v>
      </c>
      <c r="BA37" s="277"/>
      <c r="BB37" s="277"/>
      <c r="BC37" s="277"/>
      <c r="BD37" s="277"/>
      <c r="BE37" s="277"/>
      <c r="BF37" s="277"/>
      <c r="BG37" s="277"/>
      <c r="BH37" s="277"/>
      <c r="BI37" s="277"/>
      <c r="BJ37" s="277"/>
      <c r="BK37" s="277"/>
      <c r="BL37" s="277"/>
      <c r="BM37" s="277"/>
      <c r="BN37" s="277"/>
      <c r="BO37" s="277"/>
      <c r="BP37" s="277"/>
      <c r="BQ37" s="277"/>
      <c r="BR37" s="277"/>
      <c r="BS37" s="277"/>
      <c r="BT37" s="277"/>
      <c r="BU37" s="277"/>
      <c r="BV37" s="277"/>
      <c r="BW37" s="277"/>
      <c r="BX37" s="277"/>
      <c r="BY37" s="277"/>
      <c r="BZ37" s="277"/>
      <c r="CA37" s="277"/>
      <c r="CB37" s="277"/>
      <c r="CC37" s="277"/>
      <c r="CD37" s="277"/>
      <c r="CE37" s="277"/>
      <c r="CF37" s="277"/>
      <c r="CG37" s="277"/>
      <c r="CH37" s="277"/>
      <c r="CI37" s="277"/>
      <c r="CJ37" s="277"/>
      <c r="CK37" s="277"/>
      <c r="CL37" s="277"/>
      <c r="CM37" s="277"/>
      <c r="CN37" s="277"/>
      <c r="CO37" s="277"/>
      <c r="CP37" s="277"/>
      <c r="CQ37" s="277"/>
      <c r="CR37" s="277"/>
      <c r="CS37" s="277"/>
      <c r="CT37" s="277"/>
      <c r="CU37" s="277"/>
      <c r="CV37" s="277"/>
      <c r="CW37" s="277"/>
      <c r="CX37" s="277"/>
      <c r="CY37" s="277"/>
      <c r="CZ37" s="277"/>
      <c r="DA37" s="277"/>
      <c r="DB37" s="277"/>
      <c r="DC37" s="277"/>
      <c r="DD37" s="277"/>
      <c r="DE37" s="277"/>
      <c r="DF37" s="277"/>
      <c r="DG37" s="277"/>
      <c r="DH37" s="277"/>
      <c r="DI37" s="277"/>
      <c r="DJ37" s="277"/>
      <c r="DK37" s="277"/>
    </row>
    <row r="38" spans="2:115" ht="25.5">
      <c r="B38" s="89" t="s">
        <v>127</v>
      </c>
      <c r="C38" s="32" t="s">
        <v>35</v>
      </c>
      <c r="D38" s="32" t="s">
        <v>29</v>
      </c>
      <c r="E38" s="32" t="s">
        <v>57</v>
      </c>
      <c r="F38" s="93" t="s">
        <v>407</v>
      </c>
      <c r="G38" s="93"/>
      <c r="H38" s="192">
        <v>0</v>
      </c>
      <c r="I38" s="192">
        <v>0</v>
      </c>
      <c r="J38" s="192">
        <v>0</v>
      </c>
      <c r="K38" s="93"/>
      <c r="L38" s="470"/>
      <c r="M38" s="110" t="s">
        <v>194</v>
      </c>
      <c r="N38" s="110" t="s">
        <v>194</v>
      </c>
      <c r="O38" s="110" t="s">
        <v>194</v>
      </c>
      <c r="P38" s="93"/>
      <c r="Q38" s="192">
        <v>0</v>
      </c>
      <c r="R38" s="192">
        <v>0</v>
      </c>
      <c r="S38" s="192">
        <v>0</v>
      </c>
      <c r="T38" s="106"/>
      <c r="U38" s="470"/>
      <c r="V38" s="110" t="s">
        <v>202</v>
      </c>
      <c r="W38" s="110" t="s">
        <v>202</v>
      </c>
      <c r="X38" s="110" t="s">
        <v>202</v>
      </c>
      <c r="Y38" s="106"/>
      <c r="Z38" s="192">
        <v>0</v>
      </c>
      <c r="AA38" s="192">
        <v>0</v>
      </c>
      <c r="AB38" s="192">
        <v>0</v>
      </c>
      <c r="AC38" s="255"/>
      <c r="AD38" s="470"/>
      <c r="AE38" s="110" t="s">
        <v>202</v>
      </c>
      <c r="AF38" s="110" t="s">
        <v>202</v>
      </c>
      <c r="AG38" s="110" t="s">
        <v>202</v>
      </c>
      <c r="AH38" s="103"/>
      <c r="AI38" s="192">
        <v>0</v>
      </c>
      <c r="AJ38" s="192">
        <v>0</v>
      </c>
      <c r="AK38" s="192">
        <v>0</v>
      </c>
      <c r="AL38" s="103"/>
      <c r="AM38" s="470"/>
      <c r="AN38" s="110" t="s">
        <v>202</v>
      </c>
      <c r="AO38" s="110" t="s">
        <v>202</v>
      </c>
      <c r="AP38" s="110" t="s">
        <v>202</v>
      </c>
      <c r="AQ38" s="103"/>
      <c r="AR38" s="192">
        <v>0</v>
      </c>
      <c r="AS38" s="192">
        <v>0</v>
      </c>
      <c r="AT38" s="192">
        <v>0</v>
      </c>
      <c r="AV38" s="485"/>
      <c r="AW38" s="109" t="s">
        <v>216</v>
      </c>
      <c r="AX38" s="109" t="s">
        <v>202</v>
      </c>
      <c r="AY38" s="109" t="s">
        <v>202</v>
      </c>
      <c r="BA38" s="277"/>
      <c r="BB38" s="277"/>
      <c r="BC38" s="277"/>
      <c r="BD38" s="277"/>
      <c r="BE38" s="277"/>
      <c r="BF38" s="277"/>
      <c r="BG38" s="277"/>
      <c r="BH38" s="277"/>
      <c r="BI38" s="277"/>
      <c r="BJ38" s="277"/>
      <c r="BK38" s="277"/>
      <c r="BL38" s="277"/>
      <c r="BM38" s="277"/>
      <c r="BN38" s="277"/>
      <c r="BO38" s="277"/>
      <c r="BP38" s="277"/>
      <c r="BQ38" s="277"/>
      <c r="BR38" s="277"/>
      <c r="BS38" s="277"/>
      <c r="BT38" s="277"/>
      <c r="BU38" s="277"/>
      <c r="BV38" s="277"/>
      <c r="BW38" s="277"/>
      <c r="BX38" s="277"/>
      <c r="BY38" s="277"/>
      <c r="BZ38" s="277"/>
      <c r="CA38" s="277"/>
      <c r="CB38" s="277"/>
      <c r="CC38" s="277"/>
      <c r="CD38" s="277"/>
      <c r="CE38" s="277"/>
      <c r="CF38" s="277"/>
      <c r="CG38" s="277"/>
      <c r="CH38" s="277"/>
      <c r="CI38" s="277"/>
      <c r="CJ38" s="277"/>
      <c r="CK38" s="277"/>
      <c r="CL38" s="277"/>
      <c r="CM38" s="277"/>
      <c r="CN38" s="277"/>
      <c r="CO38" s="277"/>
      <c r="CP38" s="277"/>
      <c r="CQ38" s="277"/>
      <c r="CR38" s="277"/>
      <c r="CS38" s="277"/>
      <c r="CT38" s="277"/>
      <c r="CU38" s="277"/>
      <c r="CV38" s="277"/>
      <c r="CW38" s="277"/>
      <c r="CX38" s="277"/>
      <c r="CY38" s="277"/>
      <c r="CZ38" s="277"/>
      <c r="DA38" s="277"/>
      <c r="DB38" s="277"/>
      <c r="DC38" s="277"/>
      <c r="DD38" s="277"/>
      <c r="DE38" s="277"/>
      <c r="DF38" s="277"/>
      <c r="DG38" s="277"/>
      <c r="DH38" s="277"/>
      <c r="DI38" s="277"/>
      <c r="DJ38" s="277"/>
      <c r="DK38" s="277"/>
    </row>
    <row r="39" spans="2:115" ht="25.5">
      <c r="B39" s="89" t="s">
        <v>127</v>
      </c>
      <c r="C39" s="32" t="s">
        <v>35</v>
      </c>
      <c r="D39" s="32" t="s">
        <v>58</v>
      </c>
      <c r="E39" s="60" t="s">
        <v>59</v>
      </c>
      <c r="F39" s="93" t="s">
        <v>408</v>
      </c>
      <c r="G39" s="93"/>
      <c r="H39" s="79">
        <f ca="1">OPEXtoCAPEX</f>
        <v>0.2</v>
      </c>
      <c r="I39" s="79">
        <f ca="1">OPEXtoCAPEX</f>
        <v>0.2</v>
      </c>
      <c r="J39" s="79">
        <f ca="1">OPEXtoCAPEX</f>
        <v>0.2</v>
      </c>
      <c r="K39" s="93"/>
      <c r="L39" s="470"/>
      <c r="M39" s="110" t="s">
        <v>195</v>
      </c>
      <c r="N39" s="110" t="s">
        <v>195</v>
      </c>
      <c r="O39" s="110" t="s">
        <v>195</v>
      </c>
      <c r="P39" s="93"/>
      <c r="Q39" s="79">
        <f ca="1">OPEXtoCAPEX</f>
        <v>0.2</v>
      </c>
      <c r="R39" s="79">
        <f ca="1">OPEXtoCAPEX</f>
        <v>0.2</v>
      </c>
      <c r="S39" s="79">
        <f ca="1">OPEXtoCAPEX</f>
        <v>0.2</v>
      </c>
      <c r="T39" s="93"/>
      <c r="U39" s="470"/>
      <c r="V39" s="110" t="s">
        <v>202</v>
      </c>
      <c r="W39" s="110" t="s">
        <v>202</v>
      </c>
      <c r="X39" s="110" t="s">
        <v>202</v>
      </c>
      <c r="Y39" s="93"/>
      <c r="Z39" s="79">
        <f ca="1">OPEXtoCAPEX</f>
        <v>0.2</v>
      </c>
      <c r="AA39" s="79">
        <f ca="1">OPEXtoCAPEX</f>
        <v>0.2</v>
      </c>
      <c r="AB39" s="79">
        <f ca="1">OPEXtoCAPEX</f>
        <v>0.2</v>
      </c>
      <c r="AC39" s="255"/>
      <c r="AD39" s="470"/>
      <c r="AE39" s="110" t="s">
        <v>202</v>
      </c>
      <c r="AF39" s="110" t="s">
        <v>202</v>
      </c>
      <c r="AG39" s="110" t="s">
        <v>202</v>
      </c>
      <c r="AH39" s="103"/>
      <c r="AI39" s="79">
        <f ca="1">OPEXtoCAPEX</f>
        <v>0.2</v>
      </c>
      <c r="AJ39" s="79">
        <f ca="1">OPEXtoCAPEX</f>
        <v>0.2</v>
      </c>
      <c r="AK39" s="79">
        <f ca="1">OPEXtoCAPEX</f>
        <v>0.2</v>
      </c>
      <c r="AL39" s="103"/>
      <c r="AM39" s="470"/>
      <c r="AN39" s="110" t="s">
        <v>202</v>
      </c>
      <c r="AO39" s="110" t="s">
        <v>202</v>
      </c>
      <c r="AP39" s="110" t="s">
        <v>202</v>
      </c>
      <c r="AQ39" s="103"/>
      <c r="AR39" s="79">
        <f ca="1">OPEXtoCAPEX</f>
        <v>0.2</v>
      </c>
      <c r="AS39" s="79">
        <f ca="1">OPEXtoCAPEX</f>
        <v>0.2</v>
      </c>
      <c r="AT39" s="79">
        <f ca="1">OPEXtoCAPEX</f>
        <v>0.2</v>
      </c>
      <c r="AV39" s="486"/>
      <c r="AW39" s="109" t="s">
        <v>216</v>
      </c>
      <c r="AX39" s="109" t="s">
        <v>202</v>
      </c>
      <c r="AY39" s="109" t="s">
        <v>202</v>
      </c>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7"/>
      <c r="BW39" s="277"/>
      <c r="BX39" s="277"/>
      <c r="BY39" s="277"/>
      <c r="BZ39" s="277"/>
      <c r="CA39" s="277"/>
      <c r="CB39" s="277"/>
      <c r="CC39" s="277"/>
      <c r="CD39" s="277"/>
      <c r="CE39" s="277"/>
      <c r="CF39" s="277"/>
      <c r="CG39" s="277"/>
      <c r="CH39" s="277"/>
      <c r="CI39" s="277"/>
      <c r="CJ39" s="277"/>
      <c r="CK39" s="277"/>
      <c r="CL39" s="277"/>
      <c r="CM39" s="277"/>
      <c r="CN39" s="277"/>
      <c r="CO39" s="277"/>
      <c r="CP39" s="277"/>
      <c r="CQ39" s="277"/>
      <c r="CR39" s="277"/>
      <c r="CS39" s="277"/>
      <c r="CT39" s="277"/>
      <c r="CU39" s="277"/>
      <c r="CV39" s="277"/>
      <c r="CW39" s="277"/>
      <c r="CX39" s="277"/>
      <c r="CY39" s="277"/>
      <c r="CZ39" s="277"/>
      <c r="DA39" s="277"/>
      <c r="DB39" s="277"/>
      <c r="DC39" s="277"/>
      <c r="DD39" s="277"/>
      <c r="DE39" s="277"/>
      <c r="DF39" s="277"/>
      <c r="DG39" s="277"/>
      <c r="DH39" s="277"/>
      <c r="DI39" s="277"/>
      <c r="DJ39" s="277"/>
      <c r="DK39" s="277"/>
    </row>
    <row r="40" spans="2:115" s="242" customFormat="1" ht="38.25">
      <c r="B40" s="89" t="s">
        <v>127</v>
      </c>
      <c r="C40" s="32" t="s">
        <v>312</v>
      </c>
      <c r="D40" s="32" t="s">
        <v>56</v>
      </c>
      <c r="E40" s="60"/>
      <c r="F40" s="93" t="s">
        <v>409</v>
      </c>
      <c r="G40" s="93"/>
      <c r="H40" s="192"/>
      <c r="I40" s="192"/>
      <c r="J40" s="192"/>
      <c r="K40" s="93"/>
      <c r="L40" s="216"/>
      <c r="M40" s="103"/>
      <c r="N40" s="103"/>
      <c r="O40" s="103"/>
      <c r="P40" s="93"/>
      <c r="Q40" s="192"/>
      <c r="R40" s="192"/>
      <c r="S40" s="192"/>
      <c r="T40" s="93"/>
      <c r="U40" s="216"/>
      <c r="V40" s="103"/>
      <c r="W40" s="103"/>
      <c r="X40" s="103"/>
      <c r="Y40" s="93"/>
      <c r="Z40" s="192"/>
      <c r="AA40" s="192"/>
      <c r="AB40" s="192"/>
      <c r="AC40" s="277"/>
      <c r="AD40" s="216"/>
      <c r="AE40" s="103"/>
      <c r="AF40" s="103"/>
      <c r="AG40" s="103"/>
      <c r="AH40" s="103"/>
      <c r="AI40" s="192"/>
      <c r="AJ40" s="192"/>
      <c r="AK40" s="192"/>
      <c r="AL40" s="103"/>
      <c r="AM40" s="216"/>
      <c r="AN40" s="103"/>
      <c r="AO40" s="103"/>
      <c r="AP40" s="103"/>
      <c r="AQ40" s="103"/>
      <c r="AR40" s="192"/>
      <c r="AS40" s="192"/>
      <c r="AT40" s="192"/>
      <c r="AU40" s="277"/>
      <c r="AV40" s="216"/>
      <c r="AW40" s="217"/>
      <c r="AX40" s="217"/>
      <c r="AY40" s="217"/>
      <c r="BA40" s="277"/>
      <c r="BB40" s="277"/>
      <c r="BC40" s="277"/>
      <c r="BD40" s="277"/>
      <c r="BE40" s="277"/>
      <c r="BF40" s="277"/>
      <c r="BG40" s="277"/>
      <c r="BH40" s="277"/>
      <c r="BI40" s="277"/>
      <c r="BJ40" s="277"/>
      <c r="BK40" s="277"/>
      <c r="BL40" s="277"/>
      <c r="BM40" s="277"/>
      <c r="BN40" s="277"/>
      <c r="BO40" s="277"/>
      <c r="BP40" s="277"/>
      <c r="BQ40" s="277"/>
      <c r="BR40" s="277"/>
      <c r="BS40" s="277"/>
      <c r="BT40" s="277"/>
      <c r="BU40" s="277"/>
      <c r="BV40" s="277"/>
      <c r="BW40" s="277"/>
      <c r="BX40" s="277"/>
      <c r="BY40" s="277"/>
      <c r="BZ40" s="277"/>
      <c r="CA40" s="277"/>
      <c r="CB40" s="277"/>
      <c r="CC40" s="277"/>
      <c r="CD40" s="277"/>
      <c r="CE40" s="277"/>
      <c r="CF40" s="277"/>
      <c r="CG40" s="277"/>
      <c r="CH40" s="277"/>
      <c r="CI40" s="277"/>
      <c r="CJ40" s="277"/>
      <c r="CK40" s="277"/>
      <c r="CL40" s="277"/>
      <c r="CM40" s="277"/>
      <c r="CN40" s="277"/>
      <c r="CO40" s="277"/>
      <c r="CP40" s="277"/>
      <c r="CQ40" s="277"/>
      <c r="CR40" s="277"/>
      <c r="CS40" s="277"/>
      <c r="CT40" s="277"/>
      <c r="CU40" s="277"/>
      <c r="CV40" s="277"/>
      <c r="CW40" s="277"/>
      <c r="CX40" s="277"/>
      <c r="CY40" s="277"/>
      <c r="CZ40" s="277"/>
      <c r="DA40" s="277"/>
      <c r="DB40" s="277"/>
      <c r="DC40" s="277"/>
      <c r="DD40" s="277"/>
      <c r="DE40" s="277"/>
      <c r="DF40" s="277"/>
      <c r="DG40" s="277"/>
      <c r="DH40" s="277"/>
      <c r="DI40" s="277"/>
      <c r="DJ40" s="277"/>
      <c r="DK40" s="277"/>
    </row>
    <row r="41" spans="2:115" s="242" customFormat="1" ht="25.5">
      <c r="B41" s="89" t="s">
        <v>127</v>
      </c>
      <c r="C41" s="32" t="s">
        <v>312</v>
      </c>
      <c r="D41" s="32" t="s">
        <v>29</v>
      </c>
      <c r="E41" s="32" t="s">
        <v>57</v>
      </c>
      <c r="F41" s="93" t="s">
        <v>410</v>
      </c>
      <c r="G41" s="93"/>
      <c r="H41" s="192"/>
      <c r="I41" s="192"/>
      <c r="J41" s="192"/>
      <c r="K41" s="93"/>
      <c r="L41" s="216"/>
      <c r="M41" s="103"/>
      <c r="N41" s="103"/>
      <c r="O41" s="103"/>
      <c r="P41" s="93"/>
      <c r="Q41" s="192"/>
      <c r="R41" s="192"/>
      <c r="S41" s="192"/>
      <c r="T41" s="93"/>
      <c r="U41" s="216"/>
      <c r="V41" s="103"/>
      <c r="W41" s="103"/>
      <c r="X41" s="103"/>
      <c r="Y41" s="93"/>
      <c r="Z41" s="192"/>
      <c r="AA41" s="192"/>
      <c r="AB41" s="192"/>
      <c r="AC41" s="277"/>
      <c r="AD41" s="216"/>
      <c r="AE41" s="103"/>
      <c r="AF41" s="103"/>
      <c r="AG41" s="103"/>
      <c r="AH41" s="103"/>
      <c r="AI41" s="192"/>
      <c r="AJ41" s="192"/>
      <c r="AK41" s="192"/>
      <c r="AL41" s="103"/>
      <c r="AM41" s="216"/>
      <c r="AN41" s="103"/>
      <c r="AO41" s="103"/>
      <c r="AP41" s="103"/>
      <c r="AQ41" s="103"/>
      <c r="AR41" s="192"/>
      <c r="AS41" s="192"/>
      <c r="AT41" s="192"/>
      <c r="AU41" s="277"/>
      <c r="AV41" s="216"/>
      <c r="AW41" s="217"/>
      <c r="AX41" s="217"/>
      <c r="AY41" s="217"/>
      <c r="BA41" s="277"/>
      <c r="BB41" s="277"/>
      <c r="BC41" s="277"/>
      <c r="BD41" s="277"/>
      <c r="BE41" s="277"/>
      <c r="BF41" s="277"/>
      <c r="BG41" s="277"/>
      <c r="BH41" s="277"/>
      <c r="BI41" s="277"/>
      <c r="BJ41" s="277"/>
      <c r="BK41" s="277"/>
      <c r="BL41" s="277"/>
      <c r="BM41" s="277"/>
      <c r="BN41" s="277"/>
      <c r="BO41" s="277"/>
      <c r="BP41" s="277"/>
      <c r="BQ41" s="277"/>
      <c r="BR41" s="277"/>
      <c r="BS41" s="277"/>
      <c r="BT41" s="277"/>
      <c r="BU41" s="277"/>
      <c r="BV41" s="277"/>
      <c r="BW41" s="277"/>
      <c r="BX41" s="277"/>
      <c r="BY41" s="277"/>
      <c r="BZ41" s="277"/>
      <c r="CA41" s="277"/>
      <c r="CB41" s="277"/>
      <c r="CC41" s="277"/>
      <c r="CD41" s="277"/>
      <c r="CE41" s="277"/>
      <c r="CF41" s="277"/>
      <c r="CG41" s="277"/>
      <c r="CH41" s="277"/>
      <c r="CI41" s="277"/>
      <c r="CJ41" s="277"/>
      <c r="CK41" s="277"/>
      <c r="CL41" s="277"/>
      <c r="CM41" s="277"/>
      <c r="CN41" s="277"/>
      <c r="CO41" s="277"/>
      <c r="CP41" s="277"/>
      <c r="CQ41" s="277"/>
      <c r="CR41" s="277"/>
      <c r="CS41" s="277"/>
      <c r="CT41" s="277"/>
      <c r="CU41" s="277"/>
      <c r="CV41" s="277"/>
      <c r="CW41" s="277"/>
      <c r="CX41" s="277"/>
      <c r="CY41" s="277"/>
      <c r="CZ41" s="277"/>
      <c r="DA41" s="277"/>
      <c r="DB41" s="277"/>
      <c r="DC41" s="277"/>
      <c r="DD41" s="277"/>
      <c r="DE41" s="277"/>
      <c r="DF41" s="277"/>
      <c r="DG41" s="277"/>
      <c r="DH41" s="277"/>
      <c r="DI41" s="277"/>
      <c r="DJ41" s="277"/>
      <c r="DK41" s="277"/>
    </row>
    <row r="42" spans="2:115" s="242" customFormat="1" ht="25.5">
      <c r="B42" s="89" t="s">
        <v>127</v>
      </c>
      <c r="C42" s="32" t="s">
        <v>312</v>
      </c>
      <c r="D42" s="32" t="s">
        <v>58</v>
      </c>
      <c r="E42" s="60" t="s">
        <v>59</v>
      </c>
      <c r="F42" s="93" t="s">
        <v>411</v>
      </c>
      <c r="G42" s="93"/>
      <c r="H42" s="192"/>
      <c r="I42" s="192"/>
      <c r="J42" s="192"/>
      <c r="K42" s="93"/>
      <c r="L42" s="355"/>
      <c r="M42" s="103"/>
      <c r="N42" s="103"/>
      <c r="O42" s="103"/>
      <c r="P42" s="94"/>
      <c r="Q42" s="192"/>
      <c r="R42" s="192"/>
      <c r="S42" s="192"/>
      <c r="T42" s="93"/>
      <c r="U42" s="355"/>
      <c r="V42" s="103"/>
      <c r="W42" s="103"/>
      <c r="X42" s="103"/>
      <c r="Y42" s="94"/>
      <c r="Z42" s="192"/>
      <c r="AA42" s="192"/>
      <c r="AB42" s="192"/>
      <c r="AC42" s="277"/>
      <c r="AD42" s="355"/>
      <c r="AE42" s="103"/>
      <c r="AF42" s="103"/>
      <c r="AG42" s="103"/>
      <c r="AH42" s="103"/>
      <c r="AI42" s="192"/>
      <c r="AJ42" s="192"/>
      <c r="AK42" s="192"/>
      <c r="AL42" s="103"/>
      <c r="AM42" s="355"/>
      <c r="AN42" s="103"/>
      <c r="AO42" s="103"/>
      <c r="AP42" s="103"/>
      <c r="AQ42" s="103"/>
      <c r="AR42" s="192"/>
      <c r="AS42" s="192"/>
      <c r="AT42" s="192"/>
      <c r="AU42" s="277"/>
      <c r="AV42" s="216"/>
      <c r="AW42" s="217"/>
      <c r="AX42" s="217"/>
      <c r="AY42" s="21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7"/>
      <c r="BW42" s="277"/>
      <c r="BX42" s="277"/>
      <c r="BY42" s="277"/>
      <c r="BZ42" s="277"/>
      <c r="CA42" s="277"/>
      <c r="CB42" s="277"/>
      <c r="CC42" s="277"/>
      <c r="CD42" s="277"/>
      <c r="CE42" s="277"/>
      <c r="CF42" s="277"/>
      <c r="CG42" s="277"/>
      <c r="CH42" s="277"/>
      <c r="CI42" s="277"/>
      <c r="CJ42" s="277"/>
      <c r="CK42" s="277"/>
      <c r="CL42" s="277"/>
      <c r="CM42" s="277"/>
      <c r="CN42" s="277"/>
      <c r="CO42" s="277"/>
      <c r="CP42" s="277"/>
      <c r="CQ42" s="277"/>
      <c r="CR42" s="277"/>
      <c r="CS42" s="277"/>
      <c r="CT42" s="277"/>
      <c r="CU42" s="277"/>
      <c r="CV42" s="277"/>
      <c r="CW42" s="277"/>
      <c r="CX42" s="277"/>
      <c r="CY42" s="277"/>
      <c r="CZ42" s="277"/>
      <c r="DA42" s="277"/>
      <c r="DB42" s="277"/>
      <c r="DC42" s="277"/>
      <c r="DD42" s="277"/>
      <c r="DE42" s="277"/>
      <c r="DF42" s="277"/>
      <c r="DG42" s="277"/>
      <c r="DH42" s="277"/>
      <c r="DI42" s="277"/>
      <c r="DJ42" s="277"/>
      <c r="DK42" s="277"/>
    </row>
    <row r="43" spans="2:115" s="242" customFormat="1" ht="25.5">
      <c r="B43" s="89" t="s">
        <v>127</v>
      </c>
      <c r="C43" s="242" t="s">
        <v>268</v>
      </c>
      <c r="D43" s="32" t="s">
        <v>56</v>
      </c>
      <c r="E43" s="60"/>
      <c r="F43" s="93" t="s">
        <v>318</v>
      </c>
      <c r="G43" s="93"/>
      <c r="H43" s="302">
        <v>0</v>
      </c>
      <c r="I43" s="302">
        <v>60</v>
      </c>
      <c r="J43" s="302">
        <v>120</v>
      </c>
      <c r="K43" s="93"/>
      <c r="L43" s="355"/>
      <c r="M43" s="103"/>
      <c r="N43" s="103"/>
      <c r="O43" s="103"/>
      <c r="P43" s="94"/>
      <c r="Q43" s="302">
        <v>0</v>
      </c>
      <c r="R43" s="302">
        <v>60</v>
      </c>
      <c r="S43" s="302">
        <v>120</v>
      </c>
      <c r="T43" s="93"/>
      <c r="U43" s="355"/>
      <c r="V43" s="103"/>
      <c r="W43" s="103"/>
      <c r="X43" s="103"/>
      <c r="Y43" s="94"/>
      <c r="Z43" s="302">
        <v>0</v>
      </c>
      <c r="AA43" s="302">
        <v>60</v>
      </c>
      <c r="AB43" s="302">
        <v>120</v>
      </c>
      <c r="AC43" s="277"/>
      <c r="AD43" s="355"/>
      <c r="AE43" s="103"/>
      <c r="AF43" s="103"/>
      <c r="AG43" s="103"/>
      <c r="AH43" s="103"/>
      <c r="AI43" s="302">
        <v>0</v>
      </c>
      <c r="AJ43" s="302">
        <v>60</v>
      </c>
      <c r="AK43" s="302">
        <v>120</v>
      </c>
      <c r="AL43" s="103"/>
      <c r="AM43" s="355"/>
      <c r="AN43" s="103"/>
      <c r="AO43" s="103"/>
      <c r="AP43" s="103"/>
      <c r="AQ43" s="103"/>
      <c r="AR43" s="302">
        <v>0</v>
      </c>
      <c r="AS43" s="302">
        <v>60</v>
      </c>
      <c r="AT43" s="302">
        <v>120</v>
      </c>
      <c r="AU43" s="277"/>
      <c r="AV43" s="216"/>
      <c r="AW43" s="217"/>
      <c r="AX43" s="217"/>
      <c r="AY43" s="21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c r="CJ43" s="277"/>
      <c r="CK43" s="277"/>
      <c r="CL43" s="277"/>
      <c r="CM43" s="277"/>
      <c r="CN43" s="277"/>
      <c r="CO43" s="277"/>
      <c r="CP43" s="277"/>
      <c r="CQ43" s="277"/>
      <c r="CR43" s="277"/>
      <c r="CS43" s="277"/>
      <c r="CT43" s="277"/>
      <c r="CU43" s="277"/>
      <c r="CV43" s="277"/>
      <c r="CW43" s="277"/>
      <c r="CX43" s="277"/>
      <c r="CY43" s="277"/>
      <c r="CZ43" s="277"/>
      <c r="DA43" s="277"/>
      <c r="DB43" s="277"/>
      <c r="DC43" s="277"/>
      <c r="DD43" s="277"/>
      <c r="DE43" s="277"/>
      <c r="DF43" s="277"/>
      <c r="DG43" s="277"/>
      <c r="DH43" s="277"/>
      <c r="DI43" s="277"/>
      <c r="DJ43" s="277"/>
      <c r="DK43" s="277"/>
    </row>
    <row r="44" spans="2:115" s="242" customFormat="1" ht="12.75">
      <c r="B44" s="89" t="s">
        <v>127</v>
      </c>
      <c r="C44" s="242" t="s">
        <v>268</v>
      </c>
      <c r="D44" s="32" t="s">
        <v>29</v>
      </c>
      <c r="E44" s="32" t="s">
        <v>57</v>
      </c>
      <c r="F44" s="93" t="s">
        <v>128</v>
      </c>
      <c r="G44" s="93"/>
      <c r="H44" s="302">
        <v>0</v>
      </c>
      <c r="I44" s="302">
        <v>0</v>
      </c>
      <c r="J44" s="302">
        <v>0</v>
      </c>
      <c r="K44" s="93"/>
      <c r="L44" s="355"/>
      <c r="M44" s="103"/>
      <c r="N44" s="103"/>
      <c r="O44" s="103"/>
      <c r="P44" s="94"/>
      <c r="Q44" s="302">
        <v>0</v>
      </c>
      <c r="R44" s="302">
        <v>0</v>
      </c>
      <c r="S44" s="302">
        <v>0</v>
      </c>
      <c r="T44" s="93"/>
      <c r="U44" s="355"/>
      <c r="V44" s="103"/>
      <c r="W44" s="103"/>
      <c r="X44" s="103"/>
      <c r="Y44" s="94"/>
      <c r="Z44" s="302">
        <v>0</v>
      </c>
      <c r="AA44" s="302">
        <v>0</v>
      </c>
      <c r="AB44" s="302">
        <v>0</v>
      </c>
      <c r="AC44" s="277"/>
      <c r="AD44" s="355"/>
      <c r="AE44" s="103"/>
      <c r="AF44" s="103"/>
      <c r="AG44" s="103"/>
      <c r="AH44" s="103"/>
      <c r="AI44" s="302">
        <v>0</v>
      </c>
      <c r="AJ44" s="302">
        <v>0</v>
      </c>
      <c r="AK44" s="302">
        <v>0</v>
      </c>
      <c r="AL44" s="103"/>
      <c r="AM44" s="355"/>
      <c r="AN44" s="103"/>
      <c r="AO44" s="103"/>
      <c r="AP44" s="103"/>
      <c r="AQ44" s="103"/>
      <c r="AR44" s="302">
        <v>0</v>
      </c>
      <c r="AS44" s="302">
        <v>0</v>
      </c>
      <c r="AT44" s="302">
        <v>0</v>
      </c>
      <c r="AU44" s="277"/>
      <c r="AV44" s="216"/>
      <c r="AW44" s="217"/>
      <c r="AX44" s="217"/>
      <c r="AY44" s="217"/>
      <c r="BA44" s="277"/>
      <c r="BB44" s="277"/>
      <c r="BC44" s="277"/>
      <c r="BD44" s="277"/>
      <c r="BE44" s="277"/>
      <c r="BF44" s="277"/>
      <c r="BG44" s="277"/>
      <c r="BH44" s="277"/>
      <c r="BI44" s="277"/>
      <c r="BJ44" s="277"/>
      <c r="BK44" s="277"/>
      <c r="BL44" s="277"/>
      <c r="BM44" s="277"/>
      <c r="BN44" s="277"/>
      <c r="BO44" s="277"/>
      <c r="BP44" s="277"/>
      <c r="BQ44" s="277"/>
      <c r="BR44" s="277"/>
      <c r="BS44" s="277"/>
      <c r="BT44" s="277"/>
      <c r="BU44" s="277"/>
      <c r="BV44" s="277"/>
      <c r="BW44" s="277"/>
      <c r="BX44" s="277"/>
      <c r="BY44" s="277"/>
      <c r="BZ44" s="277"/>
      <c r="CA44" s="277"/>
      <c r="CB44" s="277"/>
      <c r="CC44" s="277"/>
      <c r="CD44" s="277"/>
      <c r="CE44" s="277"/>
      <c r="CF44" s="277"/>
      <c r="CG44" s="277"/>
      <c r="CH44" s="277"/>
      <c r="CI44" s="277"/>
      <c r="CJ44" s="277"/>
      <c r="CK44" s="277"/>
      <c r="CL44" s="277"/>
      <c r="CM44" s="277"/>
      <c r="CN44" s="277"/>
      <c r="CO44" s="277"/>
      <c r="CP44" s="277"/>
      <c r="CQ44" s="277"/>
      <c r="CR44" s="277"/>
      <c r="CS44" s="277"/>
      <c r="CT44" s="277"/>
      <c r="CU44" s="277"/>
      <c r="CV44" s="277"/>
      <c r="CW44" s="277"/>
      <c r="CX44" s="277"/>
      <c r="CY44" s="277"/>
      <c r="CZ44" s="277"/>
      <c r="DA44" s="277"/>
      <c r="DB44" s="277"/>
      <c r="DC44" s="277"/>
      <c r="DD44" s="277"/>
      <c r="DE44" s="277"/>
      <c r="DF44" s="277"/>
      <c r="DG44" s="277"/>
      <c r="DH44" s="277"/>
      <c r="DI44" s="277"/>
      <c r="DJ44" s="277"/>
      <c r="DK44" s="277"/>
    </row>
    <row r="45" spans="2:115" s="242" customFormat="1" ht="12.75">
      <c r="B45" s="89" t="s">
        <v>127</v>
      </c>
      <c r="C45" s="242" t="s">
        <v>268</v>
      </c>
      <c r="D45" s="32" t="s">
        <v>58</v>
      </c>
      <c r="E45" s="60" t="s">
        <v>59</v>
      </c>
      <c r="F45" s="93" t="s">
        <v>129</v>
      </c>
      <c r="G45" s="93"/>
      <c r="H45" s="303">
        <f ca="1">OPEXtoCAPEX</f>
        <v>0.2</v>
      </c>
      <c r="I45" s="303">
        <f ca="1">OPEXtoCAPEX</f>
        <v>0.2</v>
      </c>
      <c r="J45" s="303">
        <f ca="1">OPEXtoCAPEX</f>
        <v>0.2</v>
      </c>
      <c r="K45" s="93"/>
      <c r="L45" s="355"/>
      <c r="M45" s="103"/>
      <c r="N45" s="103"/>
      <c r="O45" s="103"/>
      <c r="P45" s="94"/>
      <c r="Q45" s="303">
        <f ca="1">OPEXtoCAPEX</f>
        <v>0.2</v>
      </c>
      <c r="R45" s="303">
        <f ca="1">OPEXtoCAPEX</f>
        <v>0.2</v>
      </c>
      <c r="S45" s="303">
        <f ca="1">OPEXtoCAPEX</f>
        <v>0.2</v>
      </c>
      <c r="T45" s="93"/>
      <c r="U45" s="355"/>
      <c r="V45" s="103"/>
      <c r="W45" s="103"/>
      <c r="X45" s="103"/>
      <c r="Y45" s="94"/>
      <c r="Z45" s="303">
        <f ca="1">OPEXtoCAPEX</f>
        <v>0.2</v>
      </c>
      <c r="AA45" s="303">
        <f ca="1">OPEXtoCAPEX</f>
        <v>0.2</v>
      </c>
      <c r="AB45" s="303">
        <f ca="1">OPEXtoCAPEX</f>
        <v>0.2</v>
      </c>
      <c r="AC45" s="277"/>
      <c r="AD45" s="355"/>
      <c r="AE45" s="103"/>
      <c r="AF45" s="103"/>
      <c r="AG45" s="103"/>
      <c r="AH45" s="103"/>
      <c r="AI45" s="303">
        <f ca="1">OPEXtoCAPEX</f>
        <v>0.2</v>
      </c>
      <c r="AJ45" s="303">
        <f ca="1">OPEXtoCAPEX</f>
        <v>0.2</v>
      </c>
      <c r="AK45" s="303">
        <f ca="1">OPEXtoCAPEX</f>
        <v>0.2</v>
      </c>
      <c r="AL45" s="103"/>
      <c r="AM45" s="355"/>
      <c r="AN45" s="103"/>
      <c r="AO45" s="103"/>
      <c r="AP45" s="103"/>
      <c r="AQ45" s="103"/>
      <c r="AR45" s="303">
        <f ca="1">OPEXtoCAPEX</f>
        <v>0.2</v>
      </c>
      <c r="AS45" s="303">
        <f ca="1">OPEXtoCAPEX</f>
        <v>0.2</v>
      </c>
      <c r="AT45" s="303">
        <f ca="1">OPEXtoCAPEX</f>
        <v>0.2</v>
      </c>
      <c r="AU45" s="277"/>
      <c r="AV45" s="216"/>
      <c r="AW45" s="217"/>
      <c r="AX45" s="217"/>
      <c r="AY45" s="21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7"/>
      <c r="BW45" s="277"/>
      <c r="BX45" s="277"/>
      <c r="BY45" s="277"/>
      <c r="BZ45" s="277"/>
      <c r="CA45" s="277"/>
      <c r="CB45" s="277"/>
      <c r="CC45" s="277"/>
      <c r="CD45" s="277"/>
      <c r="CE45" s="277"/>
      <c r="CF45" s="277"/>
      <c r="CG45" s="277"/>
      <c r="CH45" s="277"/>
      <c r="CI45" s="277"/>
      <c r="CJ45" s="277"/>
      <c r="CK45" s="277"/>
      <c r="CL45" s="277"/>
      <c r="CM45" s="277"/>
      <c r="CN45" s="277"/>
      <c r="CO45" s="277"/>
      <c r="CP45" s="277"/>
      <c r="CQ45" s="277"/>
      <c r="CR45" s="277"/>
      <c r="CS45" s="277"/>
      <c r="CT45" s="277"/>
      <c r="CU45" s="277"/>
      <c r="CV45" s="277"/>
      <c r="CW45" s="277"/>
      <c r="CX45" s="277"/>
      <c r="CY45" s="277"/>
      <c r="CZ45" s="277"/>
      <c r="DA45" s="277"/>
      <c r="DB45" s="277"/>
      <c r="DC45" s="277"/>
      <c r="DD45" s="277"/>
      <c r="DE45" s="277"/>
      <c r="DF45" s="277"/>
      <c r="DG45" s="277"/>
      <c r="DH45" s="277"/>
      <c r="DI45" s="277"/>
      <c r="DJ45" s="277"/>
      <c r="DK45" s="277"/>
    </row>
    <row r="46" spans="2:115" s="180" customFormat="1" ht="12.75">
      <c r="B46" s="89"/>
      <c r="C46" s="32"/>
      <c r="D46" s="32"/>
      <c r="E46" s="60"/>
      <c r="F46" s="93"/>
      <c r="G46" s="93"/>
      <c r="H46" s="218"/>
      <c r="I46" s="218"/>
      <c r="J46" s="218"/>
      <c r="K46" s="93"/>
      <c r="L46" s="355"/>
      <c r="M46" s="103"/>
      <c r="N46" s="103"/>
      <c r="O46" s="103"/>
      <c r="P46" s="94"/>
      <c r="Q46" s="218"/>
      <c r="R46" s="218"/>
      <c r="S46" s="218"/>
      <c r="T46" s="93"/>
      <c r="U46" s="218"/>
      <c r="V46" s="218"/>
      <c r="W46" s="218"/>
      <c r="X46" s="218"/>
      <c r="Y46" s="218"/>
      <c r="Z46" s="218"/>
      <c r="AA46" s="218"/>
      <c r="AB46" s="218"/>
      <c r="AC46" s="277"/>
      <c r="AD46" s="218"/>
      <c r="AE46" s="218"/>
      <c r="AF46" s="218"/>
      <c r="AG46" s="218"/>
      <c r="AH46" s="218"/>
      <c r="AI46" s="218"/>
      <c r="AJ46" s="218"/>
      <c r="AK46" s="218"/>
      <c r="AL46" s="218"/>
      <c r="AM46" s="218"/>
      <c r="AN46" s="218"/>
      <c r="AO46" s="218"/>
      <c r="AP46" s="218"/>
      <c r="AQ46" s="218"/>
      <c r="AR46" s="218"/>
      <c r="AS46" s="218"/>
      <c r="AT46" s="218"/>
      <c r="AU46" s="277"/>
      <c r="AV46" s="216"/>
      <c r="AW46" s="217"/>
      <c r="AX46" s="217"/>
      <c r="AY46" s="217"/>
      <c r="BA46" s="277"/>
      <c r="BB46" s="277"/>
      <c r="BC46" s="277"/>
      <c r="BD46" s="277"/>
      <c r="BE46" s="277"/>
      <c r="BF46" s="277"/>
      <c r="BG46" s="277"/>
      <c r="BH46" s="277"/>
      <c r="BI46" s="277"/>
      <c r="BJ46" s="277"/>
      <c r="BK46" s="277"/>
      <c r="BL46" s="277"/>
      <c r="BM46" s="277"/>
      <c r="BN46" s="277"/>
      <c r="BO46" s="277"/>
      <c r="BP46" s="277"/>
      <c r="BQ46" s="277"/>
      <c r="BR46" s="277"/>
      <c r="BS46" s="277"/>
      <c r="BT46" s="277"/>
      <c r="BU46" s="277"/>
      <c r="BV46" s="277"/>
      <c r="BW46" s="277"/>
      <c r="BX46" s="277"/>
      <c r="BY46" s="277"/>
      <c r="BZ46" s="277"/>
      <c r="CA46" s="277"/>
      <c r="CB46" s="277"/>
      <c r="CC46" s="277"/>
      <c r="CD46" s="277"/>
      <c r="CE46" s="277"/>
      <c r="CF46" s="277"/>
      <c r="CG46" s="277"/>
      <c r="CH46" s="277"/>
      <c r="CI46" s="277"/>
      <c r="CJ46" s="277"/>
      <c r="CK46" s="277"/>
      <c r="CL46" s="277"/>
      <c r="CM46" s="277"/>
      <c r="CN46" s="277"/>
      <c r="CO46" s="277"/>
      <c r="CP46" s="277"/>
      <c r="CQ46" s="277"/>
      <c r="CR46" s="277"/>
      <c r="CS46" s="277"/>
      <c r="CT46" s="277"/>
      <c r="CU46" s="277"/>
      <c r="CV46" s="277"/>
      <c r="CW46" s="277"/>
      <c r="CX46" s="277"/>
      <c r="CY46" s="277"/>
      <c r="CZ46" s="277"/>
      <c r="DA46" s="277"/>
      <c r="DB46" s="277"/>
      <c r="DC46" s="277"/>
      <c r="DD46" s="277"/>
      <c r="DE46" s="277"/>
      <c r="DF46" s="277"/>
      <c r="DG46" s="277"/>
      <c r="DH46" s="277"/>
      <c r="DI46" s="277"/>
      <c r="DJ46" s="277"/>
      <c r="DK46" s="277"/>
    </row>
    <row r="47" spans="2:115" s="180" customFormat="1" ht="12.75">
      <c r="B47" s="89" t="s">
        <v>160</v>
      </c>
      <c r="C47" s="32" t="s">
        <v>292</v>
      </c>
      <c r="D47" s="32" t="s">
        <v>61</v>
      </c>
      <c r="E47" s="60"/>
      <c r="F47" s="93" t="s">
        <v>412</v>
      </c>
      <c r="G47" s="93"/>
      <c r="H47" s="78">
        <v>15000</v>
      </c>
      <c r="I47" s="304">
        <v>300000</v>
      </c>
      <c r="J47" s="78">
        <v>5500000</v>
      </c>
      <c r="K47" s="93"/>
      <c r="L47" s="216"/>
      <c r="M47" s="103"/>
      <c r="N47" s="103"/>
      <c r="O47" s="103"/>
      <c r="P47" s="93"/>
      <c r="Q47" s="78">
        <f>H47</f>
        <v>15000</v>
      </c>
      <c r="R47" s="78">
        <f t="shared" ref="R47:S48" si="5">I47</f>
        <v>300000</v>
      </c>
      <c r="S47" s="78">
        <f t="shared" si="5"/>
        <v>5500000</v>
      </c>
      <c r="T47" s="93"/>
      <c r="U47" s="216"/>
      <c r="V47" s="103"/>
      <c r="W47" s="103"/>
      <c r="X47" s="103"/>
      <c r="Y47" s="93"/>
      <c r="Z47" s="78">
        <f>Q47</f>
        <v>15000</v>
      </c>
      <c r="AA47" s="78">
        <f t="shared" ref="AA47:AB47" si="6">R47</f>
        <v>300000</v>
      </c>
      <c r="AB47" s="78">
        <f t="shared" si="6"/>
        <v>5500000</v>
      </c>
      <c r="AC47" s="277"/>
      <c r="AD47" s="216"/>
      <c r="AE47" s="103"/>
      <c r="AF47" s="103"/>
      <c r="AG47" s="103"/>
      <c r="AH47" s="103"/>
      <c r="AI47" s="78">
        <f>Z47</f>
        <v>15000</v>
      </c>
      <c r="AJ47" s="78">
        <f t="shared" ref="AJ47:AK47" si="7">AA47</f>
        <v>300000</v>
      </c>
      <c r="AK47" s="78">
        <f t="shared" si="7"/>
        <v>5500000</v>
      </c>
      <c r="AL47" s="103"/>
      <c r="AM47" s="216"/>
      <c r="AN47" s="103"/>
      <c r="AO47" s="103"/>
      <c r="AP47" s="103"/>
      <c r="AQ47" s="103"/>
      <c r="AR47" s="78">
        <f t="shared" ref="AR47:AT47" si="8">Q47</f>
        <v>15000</v>
      </c>
      <c r="AS47" s="78">
        <f t="shared" si="8"/>
        <v>300000</v>
      </c>
      <c r="AT47" s="78">
        <f t="shared" si="8"/>
        <v>5500000</v>
      </c>
      <c r="AU47" s="277"/>
      <c r="AV47" s="216"/>
      <c r="AW47" s="217"/>
      <c r="AX47" s="217"/>
      <c r="AY47" s="21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7"/>
      <c r="CU47" s="277"/>
      <c r="CV47" s="277"/>
      <c r="CW47" s="277"/>
      <c r="CX47" s="277"/>
      <c r="CY47" s="277"/>
      <c r="CZ47" s="277"/>
      <c r="DA47" s="277"/>
      <c r="DB47" s="277"/>
      <c r="DC47" s="277"/>
      <c r="DD47" s="277"/>
      <c r="DE47" s="277"/>
      <c r="DF47" s="277"/>
      <c r="DG47" s="277"/>
      <c r="DH47" s="277"/>
      <c r="DI47" s="277"/>
      <c r="DJ47" s="277"/>
      <c r="DK47" s="277"/>
    </row>
    <row r="48" spans="2:115">
      <c r="B48" s="89" t="s">
        <v>243</v>
      </c>
      <c r="C48" s="140" t="s">
        <v>293</v>
      </c>
      <c r="D48" s="140" t="s">
        <v>58</v>
      </c>
      <c r="F48" s="277" t="s">
        <v>293</v>
      </c>
      <c r="H48" s="334">
        <v>7.1725401430982577E-2</v>
      </c>
      <c r="I48" s="334">
        <v>7.1725401430982577E-2</v>
      </c>
      <c r="J48" s="334">
        <v>7.1725401430982577E-2</v>
      </c>
      <c r="K48" s="183"/>
      <c r="L48" s="183"/>
      <c r="M48" s="183"/>
      <c r="N48" s="183"/>
      <c r="O48" s="183"/>
      <c r="P48" s="183"/>
      <c r="Q48" s="360">
        <f>H48</f>
        <v>7.1725401430982577E-2</v>
      </c>
      <c r="R48" s="360">
        <f t="shared" si="5"/>
        <v>7.1725401430982577E-2</v>
      </c>
      <c r="S48" s="360">
        <f t="shared" si="5"/>
        <v>7.1725401430982577E-2</v>
      </c>
      <c r="T48" s="93"/>
      <c r="U48" s="218"/>
      <c r="V48" s="218"/>
      <c r="W48" s="218"/>
      <c r="X48" s="218"/>
      <c r="Y48" s="218"/>
      <c r="Z48" s="360">
        <f>H48</f>
        <v>7.1725401430982577E-2</v>
      </c>
      <c r="AA48" s="360">
        <f t="shared" ref="AA48:AB48" si="9">I48</f>
        <v>7.1725401430982577E-2</v>
      </c>
      <c r="AB48" s="360">
        <f t="shared" si="9"/>
        <v>7.1725401430982577E-2</v>
      </c>
      <c r="AC48" s="255"/>
      <c r="AD48" s="218"/>
      <c r="AE48" s="218"/>
      <c r="AF48" s="218"/>
      <c r="AG48" s="218"/>
      <c r="AH48" s="218"/>
      <c r="AI48" s="360">
        <f>H48</f>
        <v>7.1725401430982577E-2</v>
      </c>
      <c r="AJ48" s="360">
        <f t="shared" ref="AJ48:AK48" si="10">I48</f>
        <v>7.1725401430982577E-2</v>
      </c>
      <c r="AK48" s="360">
        <f t="shared" si="10"/>
        <v>7.1725401430982577E-2</v>
      </c>
      <c r="AL48" s="218"/>
      <c r="AM48" s="218"/>
      <c r="AN48" s="218"/>
      <c r="AO48" s="218"/>
      <c r="AP48" s="218"/>
      <c r="AQ48" s="218"/>
      <c r="AR48" s="360">
        <f>H48</f>
        <v>7.1725401430982577E-2</v>
      </c>
      <c r="AS48" s="360">
        <f t="shared" ref="AS48:AT48" si="11">I48</f>
        <v>7.1725401430982577E-2</v>
      </c>
      <c r="AT48" s="360">
        <f t="shared" si="11"/>
        <v>7.1725401430982577E-2</v>
      </c>
      <c r="BA48" s="277"/>
      <c r="BB48" s="277"/>
      <c r="BC48" s="277"/>
      <c r="BD48" s="277"/>
      <c r="BE48" s="277"/>
      <c r="BF48" s="277"/>
      <c r="BG48" s="277"/>
      <c r="BH48" s="277"/>
      <c r="BI48" s="277"/>
      <c r="BJ48" s="277"/>
      <c r="BK48" s="277"/>
      <c r="BL48" s="277"/>
      <c r="BM48" s="277"/>
      <c r="BN48" s="277"/>
      <c r="BO48" s="277"/>
      <c r="BP48" s="277"/>
      <c r="BQ48" s="277"/>
      <c r="BR48" s="277"/>
      <c r="BS48" s="277"/>
      <c r="BT48" s="277"/>
      <c r="BU48" s="277"/>
      <c r="BV48" s="277"/>
      <c r="BW48" s="277"/>
      <c r="BX48" s="277"/>
      <c r="BY48" s="277"/>
      <c r="BZ48" s="277"/>
      <c r="CA48" s="277"/>
      <c r="CB48" s="277"/>
      <c r="CC48" s="277"/>
      <c r="CD48" s="277"/>
      <c r="CE48" s="277"/>
      <c r="CF48" s="277"/>
      <c r="CG48" s="277"/>
      <c r="CH48" s="277"/>
      <c r="CI48" s="277"/>
      <c r="CJ48" s="277"/>
      <c r="CK48" s="277"/>
      <c r="CL48" s="277"/>
      <c r="CM48" s="277"/>
      <c r="CN48" s="277"/>
      <c r="CO48" s="277"/>
      <c r="CP48" s="277"/>
      <c r="CQ48" s="277"/>
      <c r="CR48" s="277"/>
      <c r="CS48" s="277"/>
      <c r="CT48" s="277"/>
      <c r="CU48" s="277"/>
      <c r="CV48" s="277"/>
      <c r="CW48" s="277"/>
      <c r="CX48" s="277"/>
      <c r="CY48" s="277"/>
      <c r="CZ48" s="277"/>
      <c r="DA48" s="277"/>
      <c r="DB48" s="277"/>
      <c r="DC48" s="277"/>
      <c r="DD48" s="277"/>
      <c r="DE48" s="277"/>
      <c r="DF48" s="277"/>
      <c r="DG48" s="277"/>
      <c r="DH48" s="277"/>
      <c r="DI48" s="277"/>
      <c r="DJ48" s="277"/>
      <c r="DK48" s="277"/>
    </row>
    <row r="49" spans="2:115">
      <c r="B49" s="89" t="s">
        <v>160</v>
      </c>
      <c r="C49" s="277" t="s">
        <v>175</v>
      </c>
      <c r="D49" s="277" t="s">
        <v>61</v>
      </c>
      <c r="E49" s="277"/>
      <c r="F49" s="277" t="s">
        <v>175</v>
      </c>
      <c r="H49" s="96">
        <f t="shared" ref="H49:I49" si="12">H47*H48</f>
        <v>1075.8810214647388</v>
      </c>
      <c r="I49" s="96">
        <f t="shared" si="12"/>
        <v>21517.620429294773</v>
      </c>
      <c r="J49" s="96">
        <f>J47*J48</f>
        <v>394489.70787040418</v>
      </c>
      <c r="K49" s="277"/>
      <c r="L49" s="277"/>
      <c r="M49" s="277"/>
      <c r="N49" s="277"/>
      <c r="O49" s="277"/>
      <c r="P49" s="277"/>
      <c r="Q49" s="279">
        <f>Switches_Low</f>
        <v>1075.8810214647388</v>
      </c>
      <c r="R49" s="279">
        <f>Switches_Medium</f>
        <v>21517.620429294773</v>
      </c>
      <c r="S49" s="279">
        <f>Switches_High</f>
        <v>394489.70787040418</v>
      </c>
      <c r="T49" s="277"/>
      <c r="U49" s="277"/>
      <c r="V49" s="277"/>
      <c r="W49" s="277"/>
      <c r="X49" s="277"/>
      <c r="Y49" s="277"/>
      <c r="Z49" s="279">
        <f>Switches_Low</f>
        <v>1075.8810214647388</v>
      </c>
      <c r="AA49" s="279">
        <f>Switches_Medium</f>
        <v>21517.620429294773</v>
      </c>
      <c r="AB49" s="279">
        <f>Switches_High</f>
        <v>394489.70787040418</v>
      </c>
      <c r="AC49" s="255"/>
      <c r="AI49" s="279">
        <f>Switches_Low</f>
        <v>1075.8810214647388</v>
      </c>
      <c r="AJ49" s="279">
        <f>Switches_Medium</f>
        <v>21517.620429294773</v>
      </c>
      <c r="AK49" s="279">
        <f>Switches_High</f>
        <v>394489.70787040418</v>
      </c>
      <c r="AR49" s="279">
        <f>Switches_Low</f>
        <v>1075.8810214647388</v>
      </c>
      <c r="AS49" s="279">
        <f>Switches_Medium</f>
        <v>21517.620429294773</v>
      </c>
      <c r="AT49" s="279">
        <f>Switches_High</f>
        <v>394489.70787040418</v>
      </c>
      <c r="BA49" s="277"/>
      <c r="BB49" s="277"/>
      <c r="BC49" s="277"/>
      <c r="BD49" s="277"/>
      <c r="BE49" s="277"/>
      <c r="BF49" s="277"/>
      <c r="BG49" s="277"/>
      <c r="BH49" s="277"/>
      <c r="BI49" s="277"/>
      <c r="BJ49" s="277"/>
      <c r="BK49" s="277"/>
      <c r="BL49" s="277"/>
      <c r="BM49" s="277"/>
      <c r="BN49" s="277"/>
      <c r="BO49" s="277"/>
      <c r="BP49" s="277"/>
      <c r="BQ49" s="277"/>
      <c r="BR49" s="277"/>
      <c r="BS49" s="277"/>
      <c r="BT49" s="277"/>
      <c r="BU49" s="277"/>
      <c r="BV49" s="277"/>
      <c r="BW49" s="277"/>
      <c r="BX49" s="277"/>
      <c r="BY49" s="277"/>
      <c r="BZ49" s="277"/>
      <c r="CA49" s="277"/>
      <c r="CB49" s="277"/>
      <c r="CC49" s="277"/>
      <c r="CD49" s="277"/>
      <c r="CE49" s="277"/>
      <c r="CF49" s="277"/>
      <c r="CG49" s="277"/>
      <c r="CH49" s="277"/>
      <c r="CI49" s="277"/>
      <c r="CJ49" s="277"/>
      <c r="CK49" s="277"/>
      <c r="CL49" s="277"/>
      <c r="CM49" s="277"/>
      <c r="CN49" s="277"/>
      <c r="CO49" s="277"/>
      <c r="CP49" s="277"/>
      <c r="CQ49" s="277"/>
      <c r="CR49" s="277"/>
      <c r="CS49" s="277"/>
      <c r="CT49" s="277"/>
      <c r="CU49" s="277"/>
      <c r="CV49" s="277"/>
      <c r="CW49" s="277"/>
      <c r="CX49" s="277"/>
      <c r="CY49" s="277"/>
      <c r="CZ49" s="277"/>
      <c r="DA49" s="277"/>
      <c r="DB49" s="277"/>
      <c r="DC49" s="277"/>
      <c r="DD49" s="277"/>
      <c r="DE49" s="277"/>
      <c r="DF49" s="277"/>
      <c r="DG49" s="277"/>
      <c r="DH49" s="277"/>
      <c r="DI49" s="277"/>
      <c r="DJ49" s="277"/>
      <c r="DK49" s="277"/>
    </row>
    <row r="50" spans="2:115" s="180" customFormat="1" ht="12.75">
      <c r="B50" s="89"/>
      <c r="F50" s="183"/>
      <c r="G50" s="183"/>
      <c r="H50" s="277"/>
      <c r="I50" s="277"/>
      <c r="J50" s="277"/>
      <c r="K50" s="183"/>
      <c r="L50" s="183"/>
      <c r="M50" s="183"/>
      <c r="N50" s="183"/>
      <c r="O50" s="183"/>
      <c r="P50" s="183"/>
      <c r="Q50" s="277"/>
      <c r="R50" s="277"/>
      <c r="S50" s="277"/>
      <c r="T50" s="93"/>
      <c r="U50" s="93"/>
      <c r="V50" s="93"/>
      <c r="W50" s="93"/>
      <c r="X50" s="93"/>
      <c r="Y50" s="93"/>
      <c r="Z50" s="277"/>
      <c r="AA50" s="277"/>
      <c r="AB50" s="277"/>
      <c r="AC50" s="277"/>
      <c r="AD50" s="93"/>
      <c r="AE50" s="93"/>
      <c r="AF50" s="93"/>
      <c r="AG50" s="93"/>
      <c r="AH50" s="93"/>
      <c r="AI50" s="277"/>
      <c r="AJ50" s="277"/>
      <c r="AK50" s="277"/>
      <c r="AL50" s="93"/>
      <c r="AM50" s="93"/>
      <c r="AN50" s="93"/>
      <c r="AO50" s="93"/>
      <c r="AP50" s="93"/>
      <c r="AQ50" s="93"/>
      <c r="AR50" s="277"/>
      <c r="AS50" s="277"/>
      <c r="AT50" s="277"/>
      <c r="AU50" s="277"/>
      <c r="AV50" s="277"/>
      <c r="AW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7"/>
      <c r="CL50" s="277"/>
      <c r="CM50" s="277"/>
      <c r="CN50" s="277"/>
      <c r="CO50" s="277"/>
      <c r="CP50" s="277"/>
      <c r="CQ50" s="277"/>
      <c r="CR50" s="277"/>
      <c r="CS50" s="277"/>
      <c r="CT50" s="277"/>
      <c r="CU50" s="277"/>
      <c r="CV50" s="277"/>
      <c r="CW50" s="277"/>
      <c r="CX50" s="277"/>
      <c r="CY50" s="277"/>
      <c r="CZ50" s="277"/>
      <c r="DA50" s="277"/>
      <c r="DB50" s="277"/>
      <c r="DC50" s="277"/>
      <c r="DD50" s="277"/>
      <c r="DE50" s="277"/>
      <c r="DF50" s="277"/>
      <c r="DG50" s="277"/>
      <c r="DH50" s="277"/>
      <c r="DI50" s="277"/>
      <c r="DJ50" s="277"/>
      <c r="DK50" s="277"/>
    </row>
    <row r="51" spans="2:115" s="180" customFormat="1" ht="12.75">
      <c r="B51" s="89"/>
      <c r="F51" s="183"/>
      <c r="G51" s="183"/>
      <c r="H51" s="277" t="s">
        <v>15</v>
      </c>
      <c r="I51" s="277" t="s">
        <v>15</v>
      </c>
      <c r="J51" s="277" t="s">
        <v>15</v>
      </c>
      <c r="K51" s="183"/>
      <c r="L51" s="183"/>
      <c r="M51" s="183"/>
      <c r="N51" s="183"/>
      <c r="O51" s="183"/>
      <c r="P51" s="183"/>
      <c r="Q51" s="277" t="s">
        <v>649</v>
      </c>
      <c r="R51" s="277" t="s">
        <v>649</v>
      </c>
      <c r="S51" s="277" t="s">
        <v>649</v>
      </c>
      <c r="T51" s="93"/>
      <c r="U51" s="93"/>
      <c r="V51" s="93"/>
      <c r="W51" s="93"/>
      <c r="X51" s="93"/>
      <c r="Y51" s="93"/>
      <c r="Z51" s="277" t="s">
        <v>509</v>
      </c>
      <c r="AA51" s="277" t="s">
        <v>509</v>
      </c>
      <c r="AB51" s="277" t="s">
        <v>509</v>
      </c>
      <c r="AC51" s="277"/>
      <c r="AD51" s="93"/>
      <c r="AE51" s="93"/>
      <c r="AF51" s="93"/>
      <c r="AG51" s="93"/>
      <c r="AH51" s="93"/>
      <c r="AI51" s="277" t="s">
        <v>650</v>
      </c>
      <c r="AJ51" s="277" t="s">
        <v>650</v>
      </c>
      <c r="AK51" s="277" t="s">
        <v>650</v>
      </c>
      <c r="AL51" s="93"/>
      <c r="AM51" s="93"/>
      <c r="AN51" s="93"/>
      <c r="AO51" s="93"/>
      <c r="AP51" s="93"/>
      <c r="AQ51" s="93"/>
      <c r="AR51" s="277" t="s">
        <v>17</v>
      </c>
      <c r="AS51" s="277" t="s">
        <v>17</v>
      </c>
      <c r="AT51" s="277" t="s">
        <v>17</v>
      </c>
      <c r="AU51" s="277"/>
      <c r="AV51" s="277"/>
      <c r="AW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7"/>
      <c r="CL51" s="277"/>
      <c r="CM51" s="277"/>
      <c r="CN51" s="277"/>
      <c r="CO51" s="277"/>
      <c r="CP51" s="277"/>
      <c r="CQ51" s="277"/>
      <c r="CR51" s="277"/>
      <c r="CS51" s="277"/>
      <c r="CT51" s="277"/>
      <c r="CU51" s="277"/>
      <c r="CV51" s="277"/>
      <c r="CW51" s="277"/>
      <c r="CX51" s="277"/>
      <c r="CY51" s="277"/>
      <c r="CZ51" s="277"/>
      <c r="DA51" s="277"/>
      <c r="DB51" s="277"/>
      <c r="DC51" s="277"/>
      <c r="DD51" s="277"/>
      <c r="DE51" s="277"/>
      <c r="DF51" s="277"/>
      <c r="DG51" s="277"/>
      <c r="DH51" s="277"/>
      <c r="DI51" s="277"/>
      <c r="DJ51" s="277"/>
      <c r="DK51" s="277"/>
    </row>
    <row r="52" spans="2:115" s="156" customFormat="1" ht="12.75">
      <c r="B52" s="90" t="s">
        <v>126</v>
      </c>
      <c r="C52" s="156" t="s">
        <v>19</v>
      </c>
      <c r="D52" s="156" t="s">
        <v>20</v>
      </c>
      <c r="E52" s="156" t="s">
        <v>139</v>
      </c>
      <c r="F52" s="156" t="s">
        <v>12</v>
      </c>
      <c r="G52" s="259"/>
      <c r="H52" s="259" t="s">
        <v>50</v>
      </c>
      <c r="I52" s="259" t="s">
        <v>131</v>
      </c>
      <c r="J52" s="259" t="s">
        <v>23</v>
      </c>
      <c r="K52" s="259"/>
      <c r="L52" s="259" t="s">
        <v>143</v>
      </c>
      <c r="M52" s="259" t="s">
        <v>231</v>
      </c>
      <c r="N52" s="259" t="s">
        <v>232</v>
      </c>
      <c r="O52" s="259" t="s">
        <v>233</v>
      </c>
      <c r="P52" s="259"/>
      <c r="Q52" s="259" t="s">
        <v>50</v>
      </c>
      <c r="R52" s="259" t="s">
        <v>131</v>
      </c>
      <c r="S52" s="259" t="s">
        <v>23</v>
      </c>
      <c r="T52" s="259"/>
      <c r="U52" s="259" t="s">
        <v>146</v>
      </c>
      <c r="V52" s="259" t="s">
        <v>231</v>
      </c>
      <c r="W52" s="259" t="s">
        <v>232</v>
      </c>
      <c r="X52" s="259" t="s">
        <v>233</v>
      </c>
      <c r="Y52" s="259"/>
      <c r="Z52" s="259" t="s">
        <v>50</v>
      </c>
      <c r="AA52" s="259" t="s">
        <v>131</v>
      </c>
      <c r="AB52" s="259" t="s">
        <v>23</v>
      </c>
      <c r="AC52" s="259"/>
      <c r="AD52" s="259" t="s">
        <v>146</v>
      </c>
      <c r="AE52" s="259" t="s">
        <v>231</v>
      </c>
      <c r="AF52" s="259" t="s">
        <v>232</v>
      </c>
      <c r="AG52" s="259" t="s">
        <v>233</v>
      </c>
      <c r="AH52" s="259"/>
      <c r="AI52" s="259" t="s">
        <v>50</v>
      </c>
      <c r="AJ52" s="259" t="s">
        <v>131</v>
      </c>
      <c r="AK52" s="259" t="s">
        <v>23</v>
      </c>
      <c r="AL52" s="259"/>
      <c r="AM52" s="259" t="s">
        <v>146</v>
      </c>
      <c r="AN52" s="259" t="s">
        <v>231</v>
      </c>
      <c r="AO52" s="259" t="s">
        <v>232</v>
      </c>
      <c r="AP52" s="259" t="s">
        <v>233</v>
      </c>
      <c r="AQ52" s="259"/>
      <c r="AR52" s="259" t="s">
        <v>50</v>
      </c>
      <c r="AS52" s="259" t="s">
        <v>131</v>
      </c>
      <c r="AT52" s="259" t="s">
        <v>23</v>
      </c>
      <c r="AU52" s="259"/>
      <c r="AV52" s="259" t="s">
        <v>146</v>
      </c>
      <c r="AW52" s="259" t="s">
        <v>231</v>
      </c>
      <c r="AX52" s="156" t="s">
        <v>232</v>
      </c>
      <c r="AY52" s="156" t="s">
        <v>233</v>
      </c>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7"/>
      <c r="CL52" s="277"/>
      <c r="CM52" s="277"/>
      <c r="CN52" s="277"/>
      <c r="CO52" s="277"/>
      <c r="CP52" s="277"/>
      <c r="CQ52" s="277"/>
      <c r="CR52" s="277"/>
      <c r="CS52" s="277"/>
      <c r="CT52" s="277"/>
      <c r="CU52" s="277"/>
      <c r="CV52" s="277"/>
      <c r="CW52" s="277"/>
      <c r="CX52" s="277"/>
      <c r="CY52" s="277"/>
      <c r="CZ52" s="277"/>
      <c r="DA52" s="277"/>
      <c r="DB52" s="277"/>
      <c r="DC52" s="277"/>
      <c r="DD52" s="277"/>
      <c r="DE52" s="277"/>
      <c r="DF52" s="277"/>
      <c r="DG52" s="277"/>
      <c r="DH52" s="277"/>
      <c r="DI52" s="277"/>
      <c r="DJ52" s="277"/>
      <c r="DK52" s="277"/>
    </row>
    <row r="53" spans="2:115" s="180" customFormat="1" ht="12.75">
      <c r="B53" s="89"/>
      <c r="F53" s="183"/>
      <c r="G53" s="183"/>
      <c r="H53" s="277"/>
      <c r="I53" s="277"/>
      <c r="J53" s="277"/>
      <c r="K53" s="183"/>
      <c r="L53" s="183"/>
      <c r="M53" s="183"/>
      <c r="N53" s="183"/>
      <c r="O53" s="183"/>
      <c r="P53" s="183"/>
      <c r="Q53" s="277"/>
      <c r="R53" s="277"/>
      <c r="S53" s="277"/>
      <c r="T53" s="93"/>
      <c r="U53" s="93"/>
      <c r="V53" s="93"/>
      <c r="W53" s="93"/>
      <c r="X53" s="93"/>
      <c r="Y53" s="93"/>
      <c r="Z53" s="277"/>
      <c r="AA53" s="277"/>
      <c r="AB53" s="277"/>
      <c r="AC53" s="277"/>
      <c r="AD53" s="93"/>
      <c r="AE53" s="93"/>
      <c r="AF53" s="93"/>
      <c r="AG53" s="93"/>
      <c r="AH53" s="93"/>
      <c r="AI53" s="277"/>
      <c r="AJ53" s="277"/>
      <c r="AK53" s="277"/>
      <c r="AL53" s="93"/>
      <c r="AM53" s="93"/>
      <c r="AN53" s="93"/>
      <c r="AO53" s="93"/>
      <c r="AP53" s="93"/>
      <c r="AQ53" s="93"/>
      <c r="AR53" s="277"/>
      <c r="AS53" s="277"/>
      <c r="AT53" s="277"/>
      <c r="AU53" s="277"/>
      <c r="AV53" s="277"/>
      <c r="AW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7"/>
      <c r="CL53" s="277"/>
      <c r="CM53" s="277"/>
      <c r="CN53" s="277"/>
      <c r="CO53" s="277"/>
      <c r="CP53" s="277"/>
      <c r="CQ53" s="277"/>
      <c r="CR53" s="277"/>
      <c r="CS53" s="277"/>
      <c r="CT53" s="277"/>
      <c r="CU53" s="277"/>
      <c r="CV53" s="277"/>
      <c r="CW53" s="277"/>
      <c r="CX53" s="277"/>
      <c r="CY53" s="277"/>
      <c r="CZ53" s="277"/>
      <c r="DA53" s="277"/>
      <c r="DB53" s="277"/>
      <c r="DC53" s="277"/>
      <c r="DD53" s="277"/>
      <c r="DE53" s="277"/>
      <c r="DF53" s="277"/>
      <c r="DG53" s="277"/>
      <c r="DH53" s="277"/>
      <c r="DI53" s="277"/>
      <c r="DJ53" s="277"/>
      <c r="DK53" s="277"/>
    </row>
    <row r="54" spans="2:115" ht="51" customHeight="1">
      <c r="B54" s="89" t="s">
        <v>127</v>
      </c>
      <c r="C54" s="32" t="s">
        <v>134</v>
      </c>
      <c r="D54" s="32" t="s">
        <v>56</v>
      </c>
      <c r="E54" s="32" t="s">
        <v>57</v>
      </c>
      <c r="F54" s="103" t="s">
        <v>156</v>
      </c>
      <c r="G54" s="103"/>
      <c r="H54" s="200">
        <v>2200</v>
      </c>
      <c r="I54" s="200">
        <v>2500</v>
      </c>
      <c r="J54" s="200">
        <v>3000</v>
      </c>
      <c r="K54" s="103"/>
      <c r="L54" s="463" t="s">
        <v>148</v>
      </c>
      <c r="M54" s="108" t="s">
        <v>136</v>
      </c>
      <c r="N54" s="108" t="s">
        <v>557</v>
      </c>
      <c r="O54" s="108" t="s">
        <v>557</v>
      </c>
      <c r="P54" s="103"/>
      <c r="Q54" s="200">
        <v>2200</v>
      </c>
      <c r="R54" s="200">
        <v>2500</v>
      </c>
      <c r="S54" s="200">
        <v>3000</v>
      </c>
      <c r="T54" s="106"/>
      <c r="U54" s="463" t="s">
        <v>55</v>
      </c>
      <c r="V54" s="110" t="s">
        <v>202</v>
      </c>
      <c r="W54" s="108" t="s">
        <v>557</v>
      </c>
      <c r="X54" s="108" t="s">
        <v>557</v>
      </c>
      <c r="Y54" s="106"/>
      <c r="Z54" s="200">
        <v>2200</v>
      </c>
      <c r="AA54" s="200">
        <v>2500</v>
      </c>
      <c r="AB54" s="200">
        <v>3000</v>
      </c>
      <c r="AC54" s="255"/>
      <c r="AD54" s="463" t="s">
        <v>55</v>
      </c>
      <c r="AE54" s="110" t="s">
        <v>202</v>
      </c>
      <c r="AF54" s="108" t="s">
        <v>557</v>
      </c>
      <c r="AG54" s="108" t="s">
        <v>557</v>
      </c>
      <c r="AH54" s="103"/>
      <c r="AI54" s="200">
        <v>1700</v>
      </c>
      <c r="AJ54" s="200">
        <v>2000</v>
      </c>
      <c r="AK54" s="200">
        <v>2500</v>
      </c>
      <c r="AL54" s="103"/>
      <c r="AM54" s="471" t="s">
        <v>682</v>
      </c>
      <c r="AN54" s="110" t="s">
        <v>202</v>
      </c>
      <c r="AO54" s="108" t="s">
        <v>557</v>
      </c>
      <c r="AP54" s="108" t="s">
        <v>557</v>
      </c>
      <c r="AQ54" s="103"/>
      <c r="AR54" s="200">
        <v>275</v>
      </c>
      <c r="AS54" s="200">
        <v>300</v>
      </c>
      <c r="AT54" s="200">
        <v>350</v>
      </c>
      <c r="AV54" s="463" t="s">
        <v>69</v>
      </c>
      <c r="AW54" s="108" t="s">
        <v>218</v>
      </c>
      <c r="AX54" s="108" t="s">
        <v>557</v>
      </c>
      <c r="AY54" s="108" t="s">
        <v>557</v>
      </c>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7"/>
      <c r="CL54" s="277"/>
      <c r="CM54" s="277"/>
      <c r="CN54" s="277"/>
      <c r="CO54" s="277"/>
      <c r="CP54" s="277"/>
      <c r="CQ54" s="277"/>
      <c r="CR54" s="277"/>
      <c r="CS54" s="277"/>
      <c r="CT54" s="277"/>
      <c r="CU54" s="277"/>
      <c r="CV54" s="277"/>
      <c r="CW54" s="277"/>
      <c r="CX54" s="277"/>
      <c r="CY54" s="277"/>
      <c r="CZ54" s="277"/>
      <c r="DA54" s="277"/>
      <c r="DB54" s="277"/>
      <c r="DC54" s="277"/>
      <c r="DD54" s="277"/>
      <c r="DE54" s="277"/>
      <c r="DF54" s="277"/>
      <c r="DG54" s="277"/>
      <c r="DH54" s="277"/>
      <c r="DI54" s="277"/>
      <c r="DJ54" s="277"/>
      <c r="DK54" s="277"/>
    </row>
    <row r="55" spans="2:115" ht="38.25" customHeight="1">
      <c r="B55" s="89" t="s">
        <v>127</v>
      </c>
      <c r="C55" s="32" t="s">
        <v>134</v>
      </c>
      <c r="D55" s="32" t="s">
        <v>29</v>
      </c>
      <c r="E55" s="32" t="s">
        <v>57</v>
      </c>
      <c r="F55" s="94" t="s">
        <v>155</v>
      </c>
      <c r="G55" s="94"/>
      <c r="H55" s="200">
        <v>150000</v>
      </c>
      <c r="I55" s="200">
        <v>200000</v>
      </c>
      <c r="J55" s="200">
        <v>225000</v>
      </c>
      <c r="K55" s="94"/>
      <c r="L55" s="464"/>
      <c r="M55" s="112" t="s">
        <v>137</v>
      </c>
      <c r="N55" s="108" t="s">
        <v>557</v>
      </c>
      <c r="O55" s="108" t="s">
        <v>557</v>
      </c>
      <c r="P55" s="94"/>
      <c r="Q55" s="200">
        <v>150000</v>
      </c>
      <c r="R55" s="200">
        <v>200000</v>
      </c>
      <c r="S55" s="200">
        <v>225000</v>
      </c>
      <c r="T55" s="93"/>
      <c r="U55" s="464"/>
      <c r="V55" s="110" t="s">
        <v>202</v>
      </c>
      <c r="W55" s="108" t="s">
        <v>557</v>
      </c>
      <c r="X55" s="108" t="s">
        <v>557</v>
      </c>
      <c r="Y55" s="93"/>
      <c r="Z55" s="200">
        <v>150000</v>
      </c>
      <c r="AA55" s="200">
        <v>200000</v>
      </c>
      <c r="AB55" s="200">
        <v>225000</v>
      </c>
      <c r="AC55" s="255"/>
      <c r="AD55" s="464"/>
      <c r="AE55" s="110" t="s">
        <v>202</v>
      </c>
      <c r="AF55" s="108" t="s">
        <v>557</v>
      </c>
      <c r="AG55" s="108" t="s">
        <v>557</v>
      </c>
      <c r="AH55" s="103"/>
      <c r="AI55" s="200">
        <v>150000</v>
      </c>
      <c r="AJ55" s="200">
        <v>200000</v>
      </c>
      <c r="AK55" s="200">
        <v>225000</v>
      </c>
      <c r="AL55" s="103"/>
      <c r="AM55" s="464"/>
      <c r="AN55" s="110" t="s">
        <v>202</v>
      </c>
      <c r="AO55" s="108" t="s">
        <v>557</v>
      </c>
      <c r="AP55" s="108" t="s">
        <v>557</v>
      </c>
      <c r="AQ55" s="103"/>
      <c r="AR55" s="200">
        <v>100000</v>
      </c>
      <c r="AS55" s="200">
        <v>100000</v>
      </c>
      <c r="AT55" s="200">
        <v>150000</v>
      </c>
      <c r="AV55" s="464"/>
      <c r="AW55" s="112" t="s">
        <v>219</v>
      </c>
      <c r="AX55" s="108" t="s">
        <v>557</v>
      </c>
      <c r="AY55" s="108" t="s">
        <v>557</v>
      </c>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7"/>
      <c r="CL55" s="277"/>
      <c r="CM55" s="277"/>
      <c r="CN55" s="277"/>
      <c r="CO55" s="277"/>
      <c r="CP55" s="277"/>
      <c r="CQ55" s="277"/>
      <c r="CR55" s="277"/>
      <c r="CS55" s="277"/>
      <c r="CT55" s="277"/>
      <c r="CU55" s="277"/>
      <c r="CV55" s="277"/>
      <c r="CW55" s="277"/>
      <c r="CX55" s="277"/>
      <c r="CY55" s="277"/>
      <c r="CZ55" s="277"/>
      <c r="DA55" s="277"/>
      <c r="DB55" s="277"/>
      <c r="DC55" s="277"/>
      <c r="DD55" s="277"/>
      <c r="DE55" s="277"/>
      <c r="DF55" s="277"/>
      <c r="DG55" s="277"/>
      <c r="DH55" s="277"/>
      <c r="DI55" s="277"/>
      <c r="DJ55" s="277"/>
      <c r="DK55" s="277"/>
    </row>
    <row r="56" spans="2:115" ht="15" customHeight="1">
      <c r="B56" s="89" t="s">
        <v>127</v>
      </c>
      <c r="C56" s="32" t="s">
        <v>134</v>
      </c>
      <c r="D56" s="32" t="s">
        <v>58</v>
      </c>
      <c r="E56" s="32" t="s">
        <v>59</v>
      </c>
      <c r="F56" s="93" t="s">
        <v>129</v>
      </c>
      <c r="G56" s="93"/>
      <c r="H56" s="201">
        <v>0.15</v>
      </c>
      <c r="I56" s="201">
        <f ca="1">OPEXtoCAPEX</f>
        <v>0.2</v>
      </c>
      <c r="J56" s="201">
        <v>0.25</v>
      </c>
      <c r="K56" s="93"/>
      <c r="L56" s="465"/>
      <c r="M56" s="114" t="s">
        <v>129</v>
      </c>
      <c r="N56" s="108" t="s">
        <v>557</v>
      </c>
      <c r="O56" s="108" t="s">
        <v>557</v>
      </c>
      <c r="P56" s="93"/>
      <c r="Q56" s="201">
        <v>0.1</v>
      </c>
      <c r="R56" s="201">
        <f ca="1">OPEXtoCAPEX</f>
        <v>0.2</v>
      </c>
      <c r="S56" s="201">
        <v>0.2</v>
      </c>
      <c r="T56" s="93"/>
      <c r="U56" s="465"/>
      <c r="V56" s="110" t="s">
        <v>202</v>
      </c>
      <c r="W56" s="108" t="s">
        <v>557</v>
      </c>
      <c r="X56" s="108" t="s">
        <v>557</v>
      </c>
      <c r="Y56" s="93"/>
      <c r="Z56" s="201">
        <v>0.1</v>
      </c>
      <c r="AA56" s="201">
        <f ca="1">OPEXtoCAPEX</f>
        <v>0.2</v>
      </c>
      <c r="AB56" s="201">
        <v>0.2</v>
      </c>
      <c r="AC56" s="255"/>
      <c r="AD56" s="465"/>
      <c r="AE56" s="110" t="s">
        <v>202</v>
      </c>
      <c r="AF56" s="108" t="s">
        <v>557</v>
      </c>
      <c r="AG56" s="108" t="s">
        <v>557</v>
      </c>
      <c r="AH56" s="103"/>
      <c r="AI56" s="201">
        <v>0.1</v>
      </c>
      <c r="AJ56" s="201">
        <f ca="1">OPEXtoCAPEX</f>
        <v>0.2</v>
      </c>
      <c r="AK56" s="201">
        <v>0.2</v>
      </c>
      <c r="AL56" s="103"/>
      <c r="AM56" s="465"/>
      <c r="AN56" s="110" t="s">
        <v>202</v>
      </c>
      <c r="AO56" s="108" t="s">
        <v>557</v>
      </c>
      <c r="AP56" s="108" t="s">
        <v>557</v>
      </c>
      <c r="AQ56" s="103"/>
      <c r="AR56" s="201">
        <v>0.1</v>
      </c>
      <c r="AS56" s="201">
        <f ca="1">OPEXtoCAPEX</f>
        <v>0.2</v>
      </c>
      <c r="AT56" s="201">
        <v>0.2</v>
      </c>
      <c r="AV56" s="465"/>
      <c r="AW56" s="113" t="s">
        <v>60</v>
      </c>
      <c r="AX56" s="108" t="s">
        <v>557</v>
      </c>
      <c r="AY56" s="108" t="s">
        <v>557</v>
      </c>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row>
    <row r="57" spans="2:115" ht="38.25" customHeight="1">
      <c r="B57" s="89" t="s">
        <v>37</v>
      </c>
      <c r="C57" s="34" t="s">
        <v>135</v>
      </c>
      <c r="D57" s="32" t="s">
        <v>61</v>
      </c>
      <c r="E57" s="32" t="s">
        <v>57</v>
      </c>
      <c r="F57" s="93" t="s">
        <v>151</v>
      </c>
      <c r="G57" s="93"/>
      <c r="H57" s="202">
        <v>15</v>
      </c>
      <c r="I57" s="202">
        <v>20</v>
      </c>
      <c r="J57" s="202">
        <v>20</v>
      </c>
      <c r="K57" s="93"/>
      <c r="L57" s="463" t="s">
        <v>147</v>
      </c>
      <c r="M57" s="114" t="s">
        <v>63</v>
      </c>
      <c r="N57" s="108" t="s">
        <v>557</v>
      </c>
      <c r="O57" s="108" t="s">
        <v>557</v>
      </c>
      <c r="P57" s="93"/>
      <c r="Q57" s="202">
        <v>15</v>
      </c>
      <c r="R57" s="202">
        <v>20</v>
      </c>
      <c r="S57" s="202">
        <v>20</v>
      </c>
      <c r="T57" s="93"/>
      <c r="U57" s="463" t="s">
        <v>147</v>
      </c>
      <c r="V57" s="110" t="s">
        <v>202</v>
      </c>
      <c r="W57" s="108" t="s">
        <v>557</v>
      </c>
      <c r="X57" s="108" t="s">
        <v>557</v>
      </c>
      <c r="Y57" s="93"/>
      <c r="Z57" s="202">
        <v>15</v>
      </c>
      <c r="AA57" s="202">
        <v>20</v>
      </c>
      <c r="AB57" s="202">
        <v>20</v>
      </c>
      <c r="AC57" s="255"/>
      <c r="AD57" s="463" t="s">
        <v>147</v>
      </c>
      <c r="AE57" s="110" t="s">
        <v>202</v>
      </c>
      <c r="AF57" s="108" t="s">
        <v>557</v>
      </c>
      <c r="AG57" s="108" t="s">
        <v>557</v>
      </c>
      <c r="AH57" s="103"/>
      <c r="AI57" s="202">
        <v>15</v>
      </c>
      <c r="AJ57" s="202">
        <v>20</v>
      </c>
      <c r="AK57" s="202">
        <v>20</v>
      </c>
      <c r="AL57" s="103"/>
      <c r="AM57" s="463" t="s">
        <v>147</v>
      </c>
      <c r="AN57" s="110" t="s">
        <v>202</v>
      </c>
      <c r="AO57" s="108" t="s">
        <v>557</v>
      </c>
      <c r="AP57" s="108" t="s">
        <v>557</v>
      </c>
      <c r="AQ57" s="103"/>
      <c r="AR57" s="200">
        <v>10</v>
      </c>
      <c r="AS57" s="200">
        <v>15</v>
      </c>
      <c r="AT57" s="200">
        <v>15</v>
      </c>
      <c r="AV57" s="463" t="s">
        <v>220</v>
      </c>
      <c r="AW57" s="114" t="s">
        <v>217</v>
      </c>
      <c r="AX57" s="108" t="s">
        <v>557</v>
      </c>
      <c r="AY57" s="108" t="s">
        <v>557</v>
      </c>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row>
    <row r="58" spans="2:115" ht="25.5">
      <c r="B58" s="89" t="s">
        <v>37</v>
      </c>
      <c r="C58" s="34" t="s">
        <v>135</v>
      </c>
      <c r="D58" s="32" t="s">
        <v>56</v>
      </c>
      <c r="E58" s="32" t="s">
        <v>57</v>
      </c>
      <c r="F58" s="93" t="s">
        <v>150</v>
      </c>
      <c r="G58" s="93"/>
      <c r="H58" s="202">
        <v>10</v>
      </c>
      <c r="I58" s="202">
        <v>10</v>
      </c>
      <c r="J58" s="202">
        <v>15</v>
      </c>
      <c r="K58" s="93"/>
      <c r="L58" s="464"/>
      <c r="M58" s="114" t="s">
        <v>199</v>
      </c>
      <c r="N58" s="108" t="s">
        <v>557</v>
      </c>
      <c r="O58" s="108" t="s">
        <v>557</v>
      </c>
      <c r="P58" s="93"/>
      <c r="Q58" s="202">
        <v>10</v>
      </c>
      <c r="R58" s="202">
        <v>10</v>
      </c>
      <c r="S58" s="202">
        <v>15</v>
      </c>
      <c r="T58" s="93"/>
      <c r="U58" s="464"/>
      <c r="V58" s="110" t="s">
        <v>202</v>
      </c>
      <c r="W58" s="108" t="s">
        <v>557</v>
      </c>
      <c r="X58" s="108" t="s">
        <v>557</v>
      </c>
      <c r="Y58" s="93"/>
      <c r="Z58" s="202">
        <v>10</v>
      </c>
      <c r="AA58" s="202">
        <v>10</v>
      </c>
      <c r="AB58" s="202">
        <v>15</v>
      </c>
      <c r="AC58" s="255"/>
      <c r="AD58" s="464"/>
      <c r="AE58" s="110" t="s">
        <v>202</v>
      </c>
      <c r="AF58" s="108" t="s">
        <v>557</v>
      </c>
      <c r="AG58" s="108" t="s">
        <v>557</v>
      </c>
      <c r="AH58" s="103"/>
      <c r="AI58" s="202">
        <v>10</v>
      </c>
      <c r="AJ58" s="202">
        <v>10</v>
      </c>
      <c r="AK58" s="202">
        <v>15</v>
      </c>
      <c r="AL58" s="103"/>
      <c r="AM58" s="464"/>
      <c r="AN58" s="110" t="s">
        <v>202</v>
      </c>
      <c r="AO58" s="108" t="s">
        <v>557</v>
      </c>
      <c r="AP58" s="108" t="s">
        <v>557</v>
      </c>
      <c r="AQ58" s="103"/>
      <c r="AR58" s="202">
        <v>10</v>
      </c>
      <c r="AS58" s="202">
        <v>10</v>
      </c>
      <c r="AT58" s="202">
        <v>15</v>
      </c>
      <c r="AV58" s="464"/>
      <c r="AW58" s="114" t="s">
        <v>202</v>
      </c>
      <c r="AX58" s="108" t="s">
        <v>557</v>
      </c>
      <c r="AY58" s="108" t="s">
        <v>557</v>
      </c>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row>
    <row r="59" spans="2:115" ht="25.5">
      <c r="B59" s="89" t="s">
        <v>37</v>
      </c>
      <c r="C59" s="34" t="s">
        <v>135</v>
      </c>
      <c r="D59" s="32" t="s">
        <v>58</v>
      </c>
      <c r="E59" s="60" t="s">
        <v>59</v>
      </c>
      <c r="F59" s="93" t="s">
        <v>152</v>
      </c>
      <c r="G59" s="93"/>
      <c r="H59" s="203">
        <v>0.5</v>
      </c>
      <c r="I59" s="203">
        <v>0.5</v>
      </c>
      <c r="J59" s="203">
        <v>0.7</v>
      </c>
      <c r="K59" s="93"/>
      <c r="L59" s="465"/>
      <c r="M59" s="114" t="s">
        <v>200</v>
      </c>
      <c r="N59" s="108" t="s">
        <v>557</v>
      </c>
      <c r="O59" s="108" t="s">
        <v>557</v>
      </c>
      <c r="P59" s="93"/>
      <c r="Q59" s="203">
        <v>0.5</v>
      </c>
      <c r="R59" s="203">
        <v>0.5</v>
      </c>
      <c r="S59" s="203">
        <v>0.7</v>
      </c>
      <c r="T59" s="93"/>
      <c r="U59" s="465"/>
      <c r="V59" s="110" t="s">
        <v>202</v>
      </c>
      <c r="W59" s="108" t="s">
        <v>557</v>
      </c>
      <c r="X59" s="108" t="s">
        <v>557</v>
      </c>
      <c r="Y59" s="93"/>
      <c r="Z59" s="203">
        <v>0.5</v>
      </c>
      <c r="AA59" s="203">
        <v>0.5</v>
      </c>
      <c r="AB59" s="203">
        <v>0.7</v>
      </c>
      <c r="AC59" s="255"/>
      <c r="AD59" s="465"/>
      <c r="AE59" s="110" t="s">
        <v>202</v>
      </c>
      <c r="AF59" s="108" t="s">
        <v>557</v>
      </c>
      <c r="AG59" s="108" t="s">
        <v>557</v>
      </c>
      <c r="AH59" s="103"/>
      <c r="AI59" s="203">
        <v>0.5</v>
      </c>
      <c r="AJ59" s="203">
        <v>0.5</v>
      </c>
      <c r="AK59" s="203">
        <v>0.7</v>
      </c>
      <c r="AL59" s="103"/>
      <c r="AM59" s="465"/>
      <c r="AN59" s="110" t="s">
        <v>202</v>
      </c>
      <c r="AO59" s="108" t="s">
        <v>557</v>
      </c>
      <c r="AP59" s="108" t="s">
        <v>557</v>
      </c>
      <c r="AQ59" s="103"/>
      <c r="AR59" s="203">
        <v>0.5</v>
      </c>
      <c r="AS59" s="203">
        <v>0.5</v>
      </c>
      <c r="AT59" s="203">
        <v>0.7</v>
      </c>
      <c r="AV59" s="465"/>
      <c r="AW59" s="114" t="s">
        <v>202</v>
      </c>
      <c r="AX59" s="108" t="s">
        <v>557</v>
      </c>
      <c r="AY59" s="108" t="s">
        <v>557</v>
      </c>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row>
    <row r="60" spans="2:115" ht="38.25" customHeight="1">
      <c r="B60" s="89" t="s">
        <v>127</v>
      </c>
      <c r="C60" s="32" t="s">
        <v>44</v>
      </c>
      <c r="D60" s="32" t="s">
        <v>56</v>
      </c>
      <c r="E60" s="32" t="s">
        <v>57</v>
      </c>
      <c r="F60" s="103" t="s">
        <v>153</v>
      </c>
      <c r="G60" s="103"/>
      <c r="H60" s="200">
        <v>400</v>
      </c>
      <c r="I60" s="200">
        <v>500</v>
      </c>
      <c r="J60" s="200">
        <v>550</v>
      </c>
      <c r="K60" s="103"/>
      <c r="L60" s="472" t="s">
        <v>65</v>
      </c>
      <c r="M60" s="108" t="s">
        <v>138</v>
      </c>
      <c r="N60" s="108" t="s">
        <v>557</v>
      </c>
      <c r="O60" s="108" t="s">
        <v>557</v>
      </c>
      <c r="P60" s="103"/>
      <c r="Q60" s="204">
        <v>0</v>
      </c>
      <c r="R60" s="204">
        <v>0</v>
      </c>
      <c r="S60" s="204">
        <v>0</v>
      </c>
      <c r="T60" s="93"/>
      <c r="U60" s="472" t="s">
        <v>205</v>
      </c>
      <c r="V60" s="110" t="s">
        <v>194</v>
      </c>
      <c r="W60" s="108" t="s">
        <v>557</v>
      </c>
      <c r="X60" s="108" t="s">
        <v>557</v>
      </c>
      <c r="Y60" s="93"/>
      <c r="Z60" s="204">
        <v>0</v>
      </c>
      <c r="AA60" s="204">
        <v>0</v>
      </c>
      <c r="AB60" s="204">
        <v>0</v>
      </c>
      <c r="AC60" s="255"/>
      <c r="AD60" s="472" t="s">
        <v>205</v>
      </c>
      <c r="AE60" s="110" t="s">
        <v>194</v>
      </c>
      <c r="AF60" s="108" t="s">
        <v>557</v>
      </c>
      <c r="AG60" s="108" t="s">
        <v>557</v>
      </c>
      <c r="AH60" s="103"/>
      <c r="AI60" s="435">
        <v>400</v>
      </c>
      <c r="AJ60" s="435">
        <v>500</v>
      </c>
      <c r="AK60" s="435">
        <v>550</v>
      </c>
      <c r="AL60" s="103"/>
      <c r="AM60" s="466" t="s">
        <v>683</v>
      </c>
      <c r="AN60" s="110" t="s">
        <v>194</v>
      </c>
      <c r="AO60" s="108" t="s">
        <v>557</v>
      </c>
      <c r="AP60" s="108" t="s">
        <v>557</v>
      </c>
      <c r="AQ60" s="103"/>
      <c r="AR60" s="204">
        <v>0</v>
      </c>
      <c r="AS60" s="204">
        <v>0</v>
      </c>
      <c r="AT60" s="204">
        <v>0</v>
      </c>
      <c r="AV60" s="478" t="s">
        <v>221</v>
      </c>
      <c r="AW60" s="478" t="s">
        <v>194</v>
      </c>
      <c r="AX60" s="108" t="s">
        <v>557</v>
      </c>
      <c r="AY60" s="108" t="s">
        <v>557</v>
      </c>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row>
    <row r="61" spans="2:115" ht="25.5">
      <c r="B61" s="89" t="s">
        <v>127</v>
      </c>
      <c r="C61" s="32" t="s">
        <v>44</v>
      </c>
      <c r="D61" s="32" t="s">
        <v>29</v>
      </c>
      <c r="E61" s="32" t="s">
        <v>57</v>
      </c>
      <c r="F61" s="93" t="s">
        <v>413</v>
      </c>
      <c r="G61" s="93"/>
      <c r="H61" s="200">
        <v>100000</v>
      </c>
      <c r="I61" s="200">
        <v>125000</v>
      </c>
      <c r="J61" s="200">
        <v>150000</v>
      </c>
      <c r="K61" s="93"/>
      <c r="L61" s="467"/>
      <c r="M61" s="114" t="s">
        <v>66</v>
      </c>
      <c r="N61" s="108" t="s">
        <v>557</v>
      </c>
      <c r="O61" s="108" t="s">
        <v>557</v>
      </c>
      <c r="P61" s="93"/>
      <c r="Q61" s="204">
        <v>0</v>
      </c>
      <c r="R61" s="204">
        <v>0</v>
      </c>
      <c r="S61" s="204">
        <v>0</v>
      </c>
      <c r="T61" s="183"/>
      <c r="U61" s="467"/>
      <c r="V61" s="110" t="s">
        <v>194</v>
      </c>
      <c r="W61" s="108" t="s">
        <v>557</v>
      </c>
      <c r="X61" s="108" t="s">
        <v>557</v>
      </c>
      <c r="Y61" s="183"/>
      <c r="Z61" s="204">
        <v>0</v>
      </c>
      <c r="AA61" s="204">
        <v>0</v>
      </c>
      <c r="AB61" s="204">
        <v>0</v>
      </c>
      <c r="AC61" s="255"/>
      <c r="AD61" s="467"/>
      <c r="AE61" s="110" t="s">
        <v>194</v>
      </c>
      <c r="AF61" s="108" t="s">
        <v>557</v>
      </c>
      <c r="AG61" s="108" t="s">
        <v>557</v>
      </c>
      <c r="AH61" s="103"/>
      <c r="AI61" s="435">
        <v>100000</v>
      </c>
      <c r="AJ61" s="435">
        <v>125000</v>
      </c>
      <c r="AK61" s="435">
        <v>150000</v>
      </c>
      <c r="AL61" s="103"/>
      <c r="AM61" s="467"/>
      <c r="AN61" s="110" t="s">
        <v>194</v>
      </c>
      <c r="AO61" s="108" t="s">
        <v>557</v>
      </c>
      <c r="AP61" s="108" t="s">
        <v>557</v>
      </c>
      <c r="AQ61" s="103"/>
      <c r="AR61" s="204">
        <v>0</v>
      </c>
      <c r="AS61" s="204">
        <v>0</v>
      </c>
      <c r="AT61" s="204">
        <v>0</v>
      </c>
      <c r="AV61" s="479"/>
      <c r="AW61" s="479"/>
      <c r="AX61" s="108" t="s">
        <v>557</v>
      </c>
      <c r="AY61" s="108" t="s">
        <v>557</v>
      </c>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row>
    <row r="62" spans="2:115" ht="25.5" customHeight="1">
      <c r="B62" s="89" t="s">
        <v>127</v>
      </c>
      <c r="C62" s="32" t="s">
        <v>44</v>
      </c>
      <c r="D62" s="32" t="s">
        <v>58</v>
      </c>
      <c r="E62" s="60" t="s">
        <v>59</v>
      </c>
      <c r="F62" s="93" t="s">
        <v>414</v>
      </c>
      <c r="G62" s="93"/>
      <c r="H62" s="201">
        <v>0.15</v>
      </c>
      <c r="I62" s="201">
        <f ca="1">OPEXtoCAPEX</f>
        <v>0.2</v>
      </c>
      <c r="J62" s="201">
        <v>0.25</v>
      </c>
      <c r="K62" s="93"/>
      <c r="L62" s="468"/>
      <c r="M62" s="114" t="s">
        <v>68</v>
      </c>
      <c r="N62" s="108" t="s">
        <v>557</v>
      </c>
      <c r="O62" s="108" t="s">
        <v>557</v>
      </c>
      <c r="P62" s="93"/>
      <c r="Q62" s="204">
        <v>0</v>
      </c>
      <c r="R62" s="204">
        <v>0</v>
      </c>
      <c r="S62" s="204">
        <v>0</v>
      </c>
      <c r="T62" s="103"/>
      <c r="U62" s="468"/>
      <c r="V62" s="110" t="s">
        <v>194</v>
      </c>
      <c r="W62" s="108" t="s">
        <v>557</v>
      </c>
      <c r="X62" s="108" t="s">
        <v>557</v>
      </c>
      <c r="Y62" s="103"/>
      <c r="Z62" s="204">
        <v>0</v>
      </c>
      <c r="AA62" s="204">
        <v>0</v>
      </c>
      <c r="AB62" s="204">
        <v>0</v>
      </c>
      <c r="AC62" s="255"/>
      <c r="AD62" s="468"/>
      <c r="AE62" s="110" t="s">
        <v>194</v>
      </c>
      <c r="AF62" s="108" t="s">
        <v>557</v>
      </c>
      <c r="AG62" s="108" t="s">
        <v>557</v>
      </c>
      <c r="AH62" s="103"/>
      <c r="AI62" s="436">
        <v>0.15</v>
      </c>
      <c r="AJ62" s="436">
        <f ca="1">OPEXtoCAPEX</f>
        <v>0.2</v>
      </c>
      <c r="AK62" s="436">
        <v>0.25</v>
      </c>
      <c r="AL62" s="103"/>
      <c r="AM62" s="468"/>
      <c r="AN62" s="110" t="s">
        <v>194</v>
      </c>
      <c r="AO62" s="108" t="s">
        <v>557</v>
      </c>
      <c r="AP62" s="108" t="s">
        <v>557</v>
      </c>
      <c r="AQ62" s="103"/>
      <c r="AR62" s="204">
        <v>0</v>
      </c>
      <c r="AS62" s="204">
        <v>0</v>
      </c>
      <c r="AT62" s="204">
        <v>0</v>
      </c>
      <c r="AV62" s="479"/>
      <c r="AW62" s="479"/>
      <c r="AX62" s="108" t="s">
        <v>557</v>
      </c>
      <c r="AY62" s="108" t="s">
        <v>557</v>
      </c>
      <c r="BA62" s="277"/>
      <c r="BB62" s="277"/>
      <c r="BC62" s="277"/>
      <c r="BD62" s="277"/>
      <c r="BE62" s="277"/>
      <c r="BF62" s="277"/>
      <c r="BG62" s="277"/>
      <c r="BH62" s="277"/>
      <c r="BI62" s="277"/>
      <c r="BJ62" s="277"/>
      <c r="BK62" s="277"/>
      <c r="BL62" s="277"/>
      <c r="BM62" s="277"/>
      <c r="BN62" s="277"/>
      <c r="BO62" s="277"/>
      <c r="BP62" s="277"/>
      <c r="BQ62" s="277"/>
      <c r="BR62" s="277"/>
      <c r="BS62" s="277"/>
      <c r="BT62" s="277"/>
      <c r="BU62" s="277"/>
      <c r="BV62" s="277"/>
      <c r="BW62" s="277"/>
      <c r="BX62" s="277"/>
      <c r="BY62" s="277"/>
      <c r="BZ62" s="277"/>
      <c r="CA62" s="277"/>
      <c r="CB62" s="277"/>
      <c r="CC62" s="277"/>
      <c r="CD62" s="277"/>
      <c r="CE62" s="277"/>
      <c r="CF62" s="277"/>
      <c r="CG62" s="277"/>
      <c r="CH62" s="277"/>
      <c r="CI62" s="277"/>
      <c r="CJ62" s="277"/>
      <c r="CK62" s="277"/>
      <c r="CL62" s="277"/>
      <c r="CM62" s="277"/>
      <c r="CN62" s="277"/>
      <c r="CO62" s="277"/>
      <c r="CP62" s="277"/>
      <c r="CQ62" s="277"/>
      <c r="CR62" s="277"/>
      <c r="CS62" s="277"/>
      <c r="CT62" s="277"/>
      <c r="CU62" s="277"/>
      <c r="CV62" s="277"/>
      <c r="CW62" s="277"/>
      <c r="CX62" s="277"/>
      <c r="CY62" s="277"/>
      <c r="CZ62" s="277"/>
      <c r="DA62" s="277"/>
      <c r="DB62" s="277"/>
      <c r="DC62" s="277"/>
      <c r="DD62" s="277"/>
      <c r="DE62" s="277"/>
      <c r="DF62" s="277"/>
      <c r="DG62" s="277"/>
      <c r="DH62" s="277"/>
      <c r="DI62" s="277"/>
      <c r="DJ62" s="277"/>
      <c r="DK62" s="277"/>
    </row>
    <row r="63" spans="2:115" ht="25.5" customHeight="1">
      <c r="B63" s="89" t="s">
        <v>37</v>
      </c>
      <c r="C63" s="32" t="s">
        <v>47</v>
      </c>
      <c r="D63" s="32" t="s">
        <v>61</v>
      </c>
      <c r="E63" s="32" t="s">
        <v>57</v>
      </c>
      <c r="F63" s="93" t="s">
        <v>154</v>
      </c>
      <c r="G63" s="93"/>
      <c r="H63" s="202">
        <v>3</v>
      </c>
      <c r="I63" s="202">
        <v>3</v>
      </c>
      <c r="J63" s="202">
        <v>5</v>
      </c>
      <c r="K63" s="93"/>
      <c r="L63" s="463" t="s">
        <v>149</v>
      </c>
      <c r="M63" s="114" t="s">
        <v>158</v>
      </c>
      <c r="N63" s="108" t="s">
        <v>557</v>
      </c>
      <c r="O63" s="108" t="s">
        <v>557</v>
      </c>
      <c r="P63" s="93"/>
      <c r="Q63" s="204">
        <v>0</v>
      </c>
      <c r="R63" s="204">
        <v>0</v>
      </c>
      <c r="S63" s="204">
        <v>0</v>
      </c>
      <c r="T63" s="94"/>
      <c r="U63" s="463" t="s">
        <v>205</v>
      </c>
      <c r="V63" s="110" t="s">
        <v>194</v>
      </c>
      <c r="W63" s="108" t="s">
        <v>557</v>
      </c>
      <c r="X63" s="108" t="s">
        <v>557</v>
      </c>
      <c r="Y63" s="94"/>
      <c r="Z63" s="204">
        <v>0</v>
      </c>
      <c r="AA63" s="204">
        <v>0</v>
      </c>
      <c r="AB63" s="204">
        <v>0</v>
      </c>
      <c r="AC63" s="255"/>
      <c r="AD63" s="463" t="s">
        <v>205</v>
      </c>
      <c r="AE63" s="110" t="s">
        <v>194</v>
      </c>
      <c r="AF63" s="108" t="s">
        <v>557</v>
      </c>
      <c r="AG63" s="108" t="s">
        <v>557</v>
      </c>
      <c r="AH63" s="103"/>
      <c r="AI63" s="437">
        <v>3</v>
      </c>
      <c r="AJ63" s="437">
        <v>3</v>
      </c>
      <c r="AK63" s="437">
        <v>5</v>
      </c>
      <c r="AL63" s="103"/>
      <c r="AM63" s="466" t="s">
        <v>683</v>
      </c>
      <c r="AN63" s="110" t="s">
        <v>194</v>
      </c>
      <c r="AO63" s="108" t="s">
        <v>557</v>
      </c>
      <c r="AP63" s="108" t="s">
        <v>557</v>
      </c>
      <c r="AQ63" s="103"/>
      <c r="AR63" s="204">
        <v>0</v>
      </c>
      <c r="AS63" s="204">
        <v>0</v>
      </c>
      <c r="AT63" s="204">
        <v>0</v>
      </c>
      <c r="AV63" s="479"/>
      <c r="AW63" s="479"/>
      <c r="AX63" s="108" t="s">
        <v>557</v>
      </c>
      <c r="AY63" s="108" t="s">
        <v>557</v>
      </c>
      <c r="BA63" s="277"/>
      <c r="BB63" s="277"/>
      <c r="BC63" s="277"/>
      <c r="BD63" s="277"/>
      <c r="BE63" s="277"/>
      <c r="BF63" s="277"/>
      <c r="BG63" s="277"/>
      <c r="BH63" s="277"/>
      <c r="BI63" s="277"/>
      <c r="BJ63" s="277"/>
      <c r="BK63" s="277"/>
      <c r="BL63" s="277"/>
      <c r="BM63" s="277"/>
      <c r="BN63" s="277"/>
      <c r="BO63" s="277"/>
      <c r="BP63" s="277"/>
      <c r="BQ63" s="277"/>
      <c r="BR63" s="277"/>
      <c r="BS63" s="277"/>
      <c r="BT63" s="277"/>
      <c r="BU63" s="277"/>
      <c r="BV63" s="277"/>
      <c r="BW63" s="277"/>
      <c r="BX63" s="277"/>
      <c r="BY63" s="277"/>
      <c r="BZ63" s="277"/>
      <c r="CA63" s="277"/>
      <c r="CB63" s="277"/>
      <c r="CC63" s="277"/>
      <c r="CD63" s="277"/>
      <c r="CE63" s="277"/>
      <c r="CF63" s="277"/>
      <c r="CG63" s="277"/>
      <c r="CH63" s="277"/>
      <c r="CI63" s="277"/>
      <c r="CJ63" s="277"/>
      <c r="CK63" s="277"/>
      <c r="CL63" s="277"/>
      <c r="CM63" s="277"/>
      <c r="CN63" s="277"/>
      <c r="CO63" s="277"/>
      <c r="CP63" s="277"/>
      <c r="CQ63" s="277"/>
      <c r="CR63" s="277"/>
      <c r="CS63" s="277"/>
      <c r="CT63" s="277"/>
      <c r="CU63" s="277"/>
      <c r="CV63" s="277"/>
      <c r="CW63" s="277"/>
      <c r="CX63" s="277"/>
      <c r="CY63" s="277"/>
      <c r="CZ63" s="277"/>
      <c r="DA63" s="277"/>
      <c r="DB63" s="277"/>
      <c r="DC63" s="277"/>
      <c r="DD63" s="277"/>
      <c r="DE63" s="277"/>
      <c r="DF63" s="277"/>
      <c r="DG63" s="277"/>
      <c r="DH63" s="277"/>
      <c r="DI63" s="277"/>
      <c r="DJ63" s="277"/>
      <c r="DK63" s="277"/>
    </row>
    <row r="64" spans="2:115" ht="25.5">
      <c r="B64" s="89" t="s">
        <v>37</v>
      </c>
      <c r="C64" s="32" t="s">
        <v>47</v>
      </c>
      <c r="D64" s="32" t="s">
        <v>56</v>
      </c>
      <c r="E64" s="32" t="s">
        <v>57</v>
      </c>
      <c r="F64" s="93" t="s">
        <v>157</v>
      </c>
      <c r="G64" s="93"/>
      <c r="H64" s="205">
        <v>10</v>
      </c>
      <c r="I64" s="205">
        <v>10</v>
      </c>
      <c r="J64" s="205">
        <v>15</v>
      </c>
      <c r="K64" s="93"/>
      <c r="L64" s="464"/>
      <c r="M64" s="114" t="s">
        <v>199</v>
      </c>
      <c r="N64" s="108" t="s">
        <v>557</v>
      </c>
      <c r="O64" s="108" t="s">
        <v>557</v>
      </c>
      <c r="P64" s="93"/>
      <c r="Q64" s="204"/>
      <c r="R64" s="204"/>
      <c r="S64" s="204"/>
      <c r="T64" s="94"/>
      <c r="U64" s="464"/>
      <c r="V64" s="110" t="s">
        <v>194</v>
      </c>
      <c r="W64" s="108" t="s">
        <v>557</v>
      </c>
      <c r="X64" s="108" t="s">
        <v>557</v>
      </c>
      <c r="Y64" s="94"/>
      <c r="Z64" s="204"/>
      <c r="AA64" s="204"/>
      <c r="AB64" s="204"/>
      <c r="AC64" s="255"/>
      <c r="AD64" s="464"/>
      <c r="AE64" s="110" t="s">
        <v>194</v>
      </c>
      <c r="AF64" s="108" t="s">
        <v>557</v>
      </c>
      <c r="AG64" s="108" t="s">
        <v>557</v>
      </c>
      <c r="AH64" s="103"/>
      <c r="AI64" s="438">
        <v>10</v>
      </c>
      <c r="AJ64" s="438">
        <v>10</v>
      </c>
      <c r="AK64" s="438">
        <v>15</v>
      </c>
      <c r="AL64" s="103"/>
      <c r="AM64" s="467"/>
      <c r="AN64" s="110" t="s">
        <v>194</v>
      </c>
      <c r="AO64" s="108" t="s">
        <v>557</v>
      </c>
      <c r="AP64" s="108" t="s">
        <v>557</v>
      </c>
      <c r="AQ64" s="103"/>
      <c r="AR64" s="204"/>
      <c r="AS64" s="204"/>
      <c r="AT64" s="204"/>
      <c r="AV64" s="479"/>
      <c r="AW64" s="479"/>
      <c r="AX64" s="108" t="s">
        <v>557</v>
      </c>
      <c r="AY64" s="108" t="s">
        <v>557</v>
      </c>
      <c r="BA64" s="277"/>
      <c r="BB64" s="277"/>
      <c r="BC64" s="277"/>
      <c r="BD64" s="277"/>
      <c r="BE64" s="277"/>
      <c r="BF64" s="277"/>
      <c r="BG64" s="277"/>
      <c r="BH64" s="277"/>
      <c r="BI64" s="277"/>
      <c r="BJ64" s="277"/>
      <c r="BK64" s="277"/>
      <c r="BL64" s="277"/>
      <c r="BM64" s="277"/>
      <c r="BN64" s="277"/>
      <c r="BO64" s="277"/>
      <c r="BP64" s="277"/>
      <c r="BQ64" s="277"/>
      <c r="BR64" s="277"/>
      <c r="BS64" s="277"/>
      <c r="BT64" s="277"/>
      <c r="BU64" s="277"/>
      <c r="BV64" s="277"/>
      <c r="BW64" s="277"/>
      <c r="BX64" s="277"/>
      <c r="BY64" s="277"/>
      <c r="BZ64" s="277"/>
      <c r="CA64" s="277"/>
      <c r="CB64" s="277"/>
      <c r="CC64" s="277"/>
      <c r="CD64" s="277"/>
      <c r="CE64" s="277"/>
      <c r="CF64" s="277"/>
      <c r="CG64" s="277"/>
      <c r="CH64" s="277"/>
      <c r="CI64" s="277"/>
      <c r="CJ64" s="277"/>
      <c r="CK64" s="277"/>
      <c r="CL64" s="277"/>
      <c r="CM64" s="277"/>
      <c r="CN64" s="277"/>
      <c r="CO64" s="277"/>
      <c r="CP64" s="277"/>
      <c r="CQ64" s="277"/>
      <c r="CR64" s="277"/>
      <c r="CS64" s="277"/>
      <c r="CT64" s="277"/>
      <c r="CU64" s="277"/>
      <c r="CV64" s="277"/>
      <c r="CW64" s="277"/>
      <c r="CX64" s="277"/>
      <c r="CY64" s="277"/>
      <c r="CZ64" s="277"/>
      <c r="DA64" s="277"/>
      <c r="DB64" s="277"/>
      <c r="DC64" s="277"/>
      <c r="DD64" s="277"/>
      <c r="DE64" s="277"/>
      <c r="DF64" s="277"/>
      <c r="DG64" s="277"/>
      <c r="DH64" s="277"/>
      <c r="DI64" s="277"/>
      <c r="DJ64" s="277"/>
      <c r="DK64" s="277"/>
    </row>
    <row r="65" spans="2:115" ht="25.5">
      <c r="B65" s="89" t="s">
        <v>37</v>
      </c>
      <c r="C65" s="32" t="s">
        <v>47</v>
      </c>
      <c r="D65" s="32" t="s">
        <v>29</v>
      </c>
      <c r="E65" s="60" t="s">
        <v>59</v>
      </c>
      <c r="F65" s="93" t="s">
        <v>152</v>
      </c>
      <c r="G65" s="93"/>
      <c r="H65" s="203">
        <v>0.5</v>
      </c>
      <c r="I65" s="203">
        <v>0.5</v>
      </c>
      <c r="J65" s="203">
        <v>0.7</v>
      </c>
      <c r="K65" s="93"/>
      <c r="L65" s="465"/>
      <c r="M65" s="114" t="s">
        <v>200</v>
      </c>
      <c r="N65" s="108" t="s">
        <v>557</v>
      </c>
      <c r="O65" s="108" t="s">
        <v>557</v>
      </c>
      <c r="P65" s="93"/>
      <c r="Q65" s="204">
        <v>0</v>
      </c>
      <c r="R65" s="204">
        <v>0</v>
      </c>
      <c r="S65" s="204">
        <v>0</v>
      </c>
      <c r="T65" s="93"/>
      <c r="U65" s="465"/>
      <c r="V65" s="110" t="s">
        <v>194</v>
      </c>
      <c r="W65" s="108" t="s">
        <v>557</v>
      </c>
      <c r="X65" s="108" t="s">
        <v>557</v>
      </c>
      <c r="Y65" s="93"/>
      <c r="Z65" s="204">
        <v>0</v>
      </c>
      <c r="AA65" s="204">
        <v>0</v>
      </c>
      <c r="AB65" s="204">
        <v>0</v>
      </c>
      <c r="AC65" s="255"/>
      <c r="AD65" s="465"/>
      <c r="AE65" s="110" t="s">
        <v>194</v>
      </c>
      <c r="AF65" s="108" t="s">
        <v>557</v>
      </c>
      <c r="AG65" s="108" t="s">
        <v>557</v>
      </c>
      <c r="AH65" s="103"/>
      <c r="AI65" s="439">
        <v>0.5</v>
      </c>
      <c r="AJ65" s="439">
        <v>0.5</v>
      </c>
      <c r="AK65" s="439">
        <v>0.7</v>
      </c>
      <c r="AL65" s="103"/>
      <c r="AM65" s="468"/>
      <c r="AN65" s="110" t="s">
        <v>194</v>
      </c>
      <c r="AO65" s="108" t="s">
        <v>557</v>
      </c>
      <c r="AP65" s="108" t="s">
        <v>557</v>
      </c>
      <c r="AQ65" s="103"/>
      <c r="AR65" s="204">
        <v>0</v>
      </c>
      <c r="AS65" s="204">
        <v>0</v>
      </c>
      <c r="AT65" s="204">
        <v>0</v>
      </c>
      <c r="AV65" s="480"/>
      <c r="AW65" s="480"/>
      <c r="AX65" s="108" t="s">
        <v>557</v>
      </c>
      <c r="AY65" s="108" t="s">
        <v>557</v>
      </c>
      <c r="BA65" s="277"/>
      <c r="BB65" s="277"/>
      <c r="BC65" s="277"/>
      <c r="BD65" s="277"/>
      <c r="BE65" s="277"/>
      <c r="BF65" s="277"/>
      <c r="BG65" s="277"/>
      <c r="BH65" s="277"/>
      <c r="BI65" s="277"/>
      <c r="BJ65" s="277"/>
      <c r="BK65" s="277"/>
      <c r="BL65" s="277"/>
      <c r="BM65" s="277"/>
      <c r="BN65" s="277"/>
      <c r="BO65" s="277"/>
      <c r="BP65" s="277"/>
      <c r="BQ65" s="277"/>
      <c r="BR65" s="277"/>
      <c r="BS65" s="277"/>
      <c r="BT65" s="277"/>
      <c r="BU65" s="277"/>
      <c r="BV65" s="277"/>
      <c r="BW65" s="277"/>
      <c r="BX65" s="277"/>
      <c r="BY65" s="277"/>
      <c r="BZ65" s="277"/>
      <c r="CA65" s="277"/>
      <c r="CB65" s="277"/>
      <c r="CC65" s="277"/>
      <c r="CD65" s="277"/>
      <c r="CE65" s="277"/>
      <c r="CF65" s="277"/>
      <c r="CG65" s="277"/>
      <c r="CH65" s="277"/>
      <c r="CI65" s="277"/>
      <c r="CJ65" s="277"/>
      <c r="CK65" s="277"/>
      <c r="CL65" s="277"/>
      <c r="CM65" s="277"/>
      <c r="CN65" s="277"/>
      <c r="CO65" s="277"/>
      <c r="CP65" s="277"/>
      <c r="CQ65" s="277"/>
      <c r="CR65" s="277"/>
      <c r="CS65" s="277"/>
      <c r="CT65" s="277"/>
      <c r="CU65" s="277"/>
      <c r="CV65" s="277"/>
      <c r="CW65" s="277"/>
      <c r="CX65" s="277"/>
      <c r="CY65" s="277"/>
      <c r="CZ65" s="277"/>
      <c r="DA65" s="277"/>
      <c r="DB65" s="277"/>
      <c r="DC65" s="277"/>
      <c r="DD65" s="277"/>
      <c r="DE65" s="277"/>
      <c r="DF65" s="277"/>
      <c r="DG65" s="277"/>
      <c r="DH65" s="277"/>
      <c r="DI65" s="277"/>
      <c r="DJ65" s="277"/>
      <c r="DK65" s="277"/>
    </row>
    <row r="66" spans="2:115">
      <c r="H66" s="277"/>
      <c r="I66" s="277"/>
      <c r="J66" s="277"/>
      <c r="K66" s="277"/>
      <c r="L66" s="277"/>
      <c r="M66" s="277"/>
      <c r="N66" s="277"/>
      <c r="O66" s="277"/>
      <c r="P66" s="277"/>
      <c r="Q66" s="277"/>
      <c r="R66" s="277"/>
      <c r="S66" s="277"/>
      <c r="T66" s="277"/>
      <c r="U66" s="277"/>
      <c r="V66" s="277"/>
      <c r="W66" s="277"/>
      <c r="X66" s="277"/>
      <c r="Y66" s="277"/>
      <c r="Z66" s="255"/>
      <c r="AA66" s="255"/>
      <c r="AB66" s="255"/>
      <c r="AC66" s="255"/>
      <c r="BA66" s="277"/>
      <c r="BB66" s="277"/>
      <c r="BC66" s="277"/>
      <c r="BD66" s="277"/>
      <c r="BE66" s="277"/>
      <c r="BF66" s="277"/>
      <c r="BG66" s="277"/>
      <c r="BH66" s="277"/>
      <c r="BI66" s="277"/>
      <c r="BJ66" s="277"/>
      <c r="BK66" s="277"/>
      <c r="BL66" s="277"/>
      <c r="BM66" s="277"/>
      <c r="BN66" s="277"/>
      <c r="BO66" s="277"/>
      <c r="BP66" s="277"/>
      <c r="BQ66" s="277"/>
      <c r="BR66" s="277"/>
      <c r="BS66" s="277"/>
      <c r="BT66" s="277"/>
      <c r="BU66" s="277"/>
      <c r="BV66" s="277"/>
      <c r="BW66" s="277"/>
      <c r="BX66" s="277"/>
      <c r="BY66" s="277"/>
      <c r="BZ66" s="277"/>
      <c r="CA66" s="277"/>
      <c r="CB66" s="277"/>
      <c r="CC66" s="277"/>
      <c r="CD66" s="277"/>
      <c r="CE66" s="277"/>
      <c r="CF66" s="277"/>
      <c r="CG66" s="277"/>
      <c r="CH66" s="277"/>
      <c r="CI66" s="277"/>
      <c r="CJ66" s="277"/>
      <c r="CK66" s="277"/>
      <c r="CL66" s="277"/>
      <c r="CM66" s="277"/>
      <c r="CN66" s="277"/>
      <c r="CO66" s="277"/>
      <c r="CP66" s="277"/>
      <c r="CQ66" s="277"/>
      <c r="CR66" s="277"/>
      <c r="CS66" s="277"/>
      <c r="CT66" s="277"/>
      <c r="CU66" s="277"/>
      <c r="CV66" s="277"/>
      <c r="CW66" s="277"/>
      <c r="CX66" s="277"/>
      <c r="CY66" s="277"/>
      <c r="CZ66" s="277"/>
      <c r="DA66" s="277"/>
      <c r="DB66" s="277"/>
      <c r="DC66" s="277"/>
      <c r="DD66" s="277"/>
      <c r="DE66" s="277"/>
      <c r="DF66" s="277"/>
      <c r="DG66" s="277"/>
      <c r="DH66" s="277"/>
      <c r="DI66" s="277"/>
      <c r="DJ66" s="277"/>
      <c r="DK66" s="277"/>
    </row>
    <row r="67" spans="2:115" s="180" customFormat="1" ht="12.75">
      <c r="B67" s="89"/>
      <c r="G67" s="277"/>
      <c r="H67" s="277"/>
      <c r="I67" s="277"/>
      <c r="J67" s="277"/>
      <c r="K67" s="277"/>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BA67" s="277"/>
      <c r="BB67" s="277"/>
      <c r="BC67" s="277"/>
      <c r="BD67" s="277"/>
      <c r="BE67" s="277"/>
      <c r="BF67" s="277"/>
      <c r="BG67" s="277"/>
      <c r="BH67" s="277"/>
      <c r="BI67" s="277"/>
      <c r="BJ67" s="277"/>
      <c r="BK67" s="277"/>
      <c r="BL67" s="277"/>
      <c r="BM67" s="277"/>
      <c r="BN67" s="277"/>
      <c r="BO67" s="277"/>
      <c r="BP67" s="277"/>
      <c r="BQ67" s="277"/>
      <c r="BR67" s="277"/>
      <c r="BS67" s="277"/>
      <c r="BT67" s="277"/>
      <c r="BU67" s="277"/>
      <c r="BV67" s="277"/>
      <c r="BW67" s="277"/>
      <c r="BX67" s="277"/>
      <c r="BY67" s="277"/>
      <c r="BZ67" s="277"/>
      <c r="CA67" s="277"/>
      <c r="CB67" s="277"/>
      <c r="CC67" s="277"/>
      <c r="CD67" s="277"/>
      <c r="CE67" s="277"/>
      <c r="CF67" s="277"/>
      <c r="CG67" s="277"/>
      <c r="CH67" s="277"/>
      <c r="CI67" s="277"/>
      <c r="CJ67" s="277"/>
      <c r="CK67" s="277"/>
      <c r="CL67" s="277"/>
      <c r="CM67" s="277"/>
      <c r="CN67" s="277"/>
      <c r="CO67" s="277"/>
      <c r="CP67" s="277"/>
      <c r="CQ67" s="277"/>
      <c r="CR67" s="277"/>
      <c r="CS67" s="277"/>
      <c r="CT67" s="277"/>
      <c r="CU67" s="277"/>
      <c r="CV67" s="277"/>
      <c r="CW67" s="277"/>
      <c r="CX67" s="277"/>
      <c r="CY67" s="277"/>
      <c r="CZ67" s="277"/>
      <c r="DA67" s="277"/>
      <c r="DB67" s="277"/>
      <c r="DC67" s="277"/>
      <c r="DD67" s="277"/>
      <c r="DE67" s="277"/>
      <c r="DF67" s="277"/>
      <c r="DG67" s="277"/>
      <c r="DH67" s="277"/>
      <c r="DI67" s="277"/>
      <c r="DJ67" s="277"/>
      <c r="DK67" s="277"/>
    </row>
    <row r="68" spans="2:115" s="180" customFormat="1" ht="12.75">
      <c r="B68" s="89"/>
      <c r="F68" s="183"/>
      <c r="G68" s="183"/>
      <c r="H68" s="277"/>
      <c r="I68" s="277"/>
      <c r="J68" s="277"/>
      <c r="K68" s="277"/>
      <c r="L68" s="183"/>
      <c r="M68" s="183"/>
      <c r="N68" s="183"/>
      <c r="O68" s="183"/>
      <c r="P68" s="183"/>
      <c r="Q68" s="277"/>
      <c r="R68" s="277"/>
      <c r="S68" s="277"/>
      <c r="T68" s="93"/>
      <c r="U68" s="93"/>
      <c r="V68" s="93"/>
      <c r="W68" s="93"/>
      <c r="X68" s="93"/>
      <c r="Y68" s="93"/>
      <c r="Z68" s="277"/>
      <c r="AA68" s="277"/>
      <c r="AB68" s="277"/>
      <c r="AC68" s="277"/>
      <c r="AD68" s="93"/>
      <c r="AE68" s="93"/>
      <c r="AF68" s="93"/>
      <c r="AG68" s="93"/>
      <c r="AH68" s="93"/>
      <c r="AI68" s="277"/>
      <c r="AJ68" s="277"/>
      <c r="AK68" s="277"/>
      <c r="AL68" s="93"/>
      <c r="AM68" s="93"/>
      <c r="AN68" s="93"/>
      <c r="AO68" s="93"/>
      <c r="AP68" s="93"/>
      <c r="AQ68" s="93"/>
      <c r="AR68" s="277"/>
      <c r="AS68" s="277"/>
      <c r="AT68" s="277"/>
      <c r="AU68" s="277"/>
      <c r="AV68" s="277"/>
      <c r="AW68" s="277"/>
      <c r="BA68" s="277"/>
      <c r="BB68" s="277"/>
      <c r="BC68" s="277"/>
      <c r="BD68" s="277"/>
      <c r="BE68" s="277"/>
      <c r="BF68" s="277"/>
      <c r="BG68" s="277"/>
      <c r="BH68" s="277"/>
      <c r="BI68" s="277"/>
      <c r="BJ68" s="277"/>
      <c r="BK68" s="277"/>
      <c r="BL68" s="277"/>
      <c r="BM68" s="277"/>
      <c r="BN68" s="277"/>
      <c r="BO68" s="277"/>
      <c r="BP68" s="277"/>
      <c r="BQ68" s="277"/>
      <c r="BR68" s="277"/>
      <c r="BS68" s="277"/>
      <c r="BT68" s="277"/>
      <c r="BU68" s="277"/>
      <c r="BV68" s="277"/>
      <c r="BW68" s="277"/>
      <c r="BX68" s="277"/>
      <c r="BY68" s="277"/>
      <c r="BZ68" s="277"/>
      <c r="CA68" s="277"/>
      <c r="CB68" s="277"/>
      <c r="CC68" s="277"/>
      <c r="CD68" s="277"/>
      <c r="CE68" s="277"/>
      <c r="CF68" s="277"/>
      <c r="CG68" s="277"/>
      <c r="CH68" s="277"/>
      <c r="CI68" s="277"/>
      <c r="CJ68" s="277"/>
      <c r="CK68" s="277"/>
      <c r="CL68" s="277"/>
      <c r="CM68" s="277"/>
      <c r="CN68" s="277"/>
      <c r="CO68" s="277"/>
      <c r="CP68" s="277"/>
      <c r="CQ68" s="277"/>
      <c r="CR68" s="277"/>
      <c r="CS68" s="277"/>
      <c r="CT68" s="277"/>
      <c r="CU68" s="277"/>
      <c r="CV68" s="277"/>
      <c r="CW68" s="277"/>
      <c r="CX68" s="277"/>
      <c r="CY68" s="277"/>
      <c r="CZ68" s="277"/>
      <c r="DA68" s="277"/>
      <c r="DB68" s="277"/>
      <c r="DC68" s="277"/>
      <c r="DD68" s="277"/>
      <c r="DE68" s="277"/>
      <c r="DF68" s="277"/>
      <c r="DG68" s="277"/>
      <c r="DH68" s="277"/>
      <c r="DI68" s="277"/>
      <c r="DJ68" s="277"/>
      <c r="DK68" s="277"/>
    </row>
    <row r="69" spans="2:115" s="156" customFormat="1" ht="12.75">
      <c r="B69" s="90" t="s">
        <v>244</v>
      </c>
      <c r="C69" s="156" t="s">
        <v>19</v>
      </c>
      <c r="D69" s="156" t="s">
        <v>20</v>
      </c>
      <c r="E69" s="156" t="s">
        <v>139</v>
      </c>
      <c r="F69" s="156" t="s">
        <v>12</v>
      </c>
      <c r="G69" s="259" t="s">
        <v>245</v>
      </c>
      <c r="H69" s="259" t="s">
        <v>50</v>
      </c>
      <c r="I69" s="259" t="s">
        <v>131</v>
      </c>
      <c r="J69" s="259" t="s">
        <v>23</v>
      </c>
      <c r="K69" s="259"/>
      <c r="L69" s="259"/>
      <c r="M69" s="259"/>
      <c r="N69" s="259"/>
      <c r="O69" s="259"/>
      <c r="P69" s="259"/>
      <c r="Q69" s="259"/>
      <c r="R69" s="259"/>
      <c r="S69" s="259"/>
      <c r="T69" s="259"/>
      <c r="U69" s="259"/>
      <c r="V69" s="259"/>
      <c r="W69" s="259"/>
      <c r="X69" s="259"/>
      <c r="Y69" s="259"/>
      <c r="Z69" s="259"/>
      <c r="AA69" s="259"/>
      <c r="AB69" s="259"/>
      <c r="AC69" s="259"/>
      <c r="AD69" s="259"/>
      <c r="AE69" s="259"/>
      <c r="AF69" s="259"/>
      <c r="AG69" s="259"/>
      <c r="AH69" s="259"/>
      <c r="AI69" s="259"/>
      <c r="AJ69" s="259"/>
      <c r="AK69" s="259"/>
      <c r="AL69" s="259"/>
      <c r="AM69" s="259"/>
      <c r="AN69" s="259"/>
      <c r="AO69" s="259"/>
      <c r="AP69" s="259"/>
      <c r="AQ69" s="259"/>
      <c r="AR69" s="259"/>
      <c r="AS69" s="259"/>
      <c r="AT69" s="259"/>
      <c r="AU69" s="259"/>
      <c r="AV69" s="259" t="s">
        <v>146</v>
      </c>
      <c r="AW69" s="259" t="s">
        <v>231</v>
      </c>
      <c r="AX69" s="156" t="s">
        <v>232</v>
      </c>
      <c r="AY69" s="156" t="s">
        <v>233</v>
      </c>
      <c r="BA69" s="277"/>
      <c r="BB69" s="277"/>
      <c r="BC69" s="277"/>
      <c r="BD69" s="277"/>
      <c r="BE69" s="277"/>
      <c r="BF69" s="277"/>
      <c r="BG69" s="277"/>
      <c r="BH69" s="277"/>
      <c r="BI69" s="277"/>
      <c r="BJ69" s="277"/>
      <c r="BK69" s="277"/>
      <c r="BL69" s="277"/>
      <c r="BM69" s="277"/>
      <c r="BN69" s="277"/>
      <c r="BO69" s="277"/>
      <c r="BP69" s="277"/>
      <c r="BQ69" s="277"/>
      <c r="BR69" s="277"/>
      <c r="BS69" s="277"/>
      <c r="BT69" s="277"/>
      <c r="BU69" s="277"/>
      <c r="BV69" s="277"/>
      <c r="BW69" s="277"/>
      <c r="BX69" s="277"/>
      <c r="BY69" s="277"/>
      <c r="BZ69" s="277"/>
      <c r="CA69" s="277"/>
      <c r="CB69" s="277"/>
      <c r="CC69" s="277"/>
      <c r="CD69" s="277"/>
      <c r="CE69" s="277"/>
      <c r="CF69" s="277"/>
      <c r="CG69" s="277"/>
      <c r="CH69" s="277"/>
      <c r="CI69" s="277"/>
      <c r="CJ69" s="277"/>
      <c r="CK69" s="277"/>
      <c r="CL69" s="277"/>
      <c r="CM69" s="277"/>
      <c r="CN69" s="277"/>
      <c r="CO69" s="277"/>
      <c r="CP69" s="277"/>
      <c r="CQ69" s="277"/>
      <c r="CR69" s="277"/>
      <c r="CS69" s="277"/>
      <c r="CT69" s="277"/>
      <c r="CU69" s="277"/>
      <c r="CV69" s="277"/>
      <c r="CW69" s="277"/>
      <c r="CX69" s="277"/>
      <c r="CY69" s="277"/>
      <c r="CZ69" s="277"/>
      <c r="DA69" s="277"/>
      <c r="DB69" s="277"/>
      <c r="DC69" s="277"/>
      <c r="DD69" s="277"/>
      <c r="DE69" s="277"/>
      <c r="DF69" s="277"/>
      <c r="DG69" s="277"/>
      <c r="DH69" s="277"/>
      <c r="DI69" s="277"/>
      <c r="DJ69" s="277"/>
      <c r="DK69" s="277"/>
    </row>
    <row r="70" spans="2:115" s="180" customFormat="1" ht="12.75">
      <c r="B70" s="89"/>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BA70" s="277"/>
      <c r="BB70" s="277"/>
      <c r="BC70" s="277"/>
      <c r="BD70" s="277"/>
      <c r="BE70" s="277"/>
      <c r="BF70" s="277"/>
      <c r="BG70" s="277"/>
      <c r="BH70" s="277"/>
      <c r="BI70" s="277"/>
      <c r="BJ70" s="277"/>
      <c r="BK70" s="277"/>
      <c r="BL70" s="277"/>
      <c r="BM70" s="277"/>
      <c r="BN70" s="277"/>
      <c r="BO70" s="277"/>
      <c r="BP70" s="277"/>
      <c r="BQ70" s="277"/>
      <c r="BR70" s="277"/>
      <c r="BS70" s="277"/>
      <c r="BT70" s="277"/>
      <c r="BU70" s="277"/>
      <c r="BV70" s="277"/>
      <c r="BW70" s="277"/>
      <c r="BX70" s="277"/>
      <c r="BY70" s="277"/>
      <c r="BZ70" s="277"/>
      <c r="CA70" s="277"/>
      <c r="CB70" s="277"/>
      <c r="CC70" s="277"/>
      <c r="CD70" s="277"/>
      <c r="CE70" s="277"/>
      <c r="CF70" s="277"/>
      <c r="CG70" s="277"/>
      <c r="CH70" s="277"/>
      <c r="CI70" s="277"/>
      <c r="CJ70" s="277"/>
      <c r="CK70" s="277"/>
      <c r="CL70" s="277"/>
      <c r="CM70" s="277"/>
      <c r="CN70" s="277"/>
      <c r="CO70" s="277"/>
      <c r="CP70" s="277"/>
      <c r="CQ70" s="277"/>
      <c r="CR70" s="277"/>
      <c r="CS70" s="277"/>
      <c r="CT70" s="277"/>
      <c r="CU70" s="277"/>
      <c r="CV70" s="277"/>
      <c r="CW70" s="277"/>
      <c r="CX70" s="277"/>
      <c r="CY70" s="277"/>
      <c r="CZ70" s="277"/>
      <c r="DA70" s="277"/>
      <c r="DB70" s="277"/>
      <c r="DC70" s="277"/>
      <c r="DD70" s="277"/>
      <c r="DE70" s="277"/>
      <c r="DF70" s="277"/>
      <c r="DG70" s="277"/>
      <c r="DH70" s="277"/>
      <c r="DI70" s="277"/>
      <c r="DJ70" s="277"/>
      <c r="DK70" s="277"/>
    </row>
    <row r="71" spans="2:115">
      <c r="B71" s="89" t="s">
        <v>160</v>
      </c>
      <c r="C71" s="56" t="s">
        <v>110</v>
      </c>
      <c r="D71" s="63" t="s">
        <v>111</v>
      </c>
      <c r="G71" s="211">
        <f ca="1">OFFSET(G71,0,'Independent Model Outputs'!$F$64-1)</f>
        <v>500</v>
      </c>
      <c r="H71" s="200">
        <v>400</v>
      </c>
      <c r="I71" s="202">
        <v>500</v>
      </c>
      <c r="J71" s="200">
        <v>550</v>
      </c>
      <c r="K71" s="277"/>
      <c r="L71" s="277"/>
      <c r="M71" s="277"/>
      <c r="N71" s="277"/>
      <c r="O71" s="277"/>
      <c r="P71" s="277"/>
      <c r="Q71" s="277"/>
      <c r="R71" s="277"/>
      <c r="S71" s="277"/>
      <c r="T71" s="277"/>
      <c r="U71" s="277"/>
      <c r="V71" s="277"/>
      <c r="W71" s="277"/>
      <c r="X71" s="277"/>
      <c r="Y71" s="277"/>
      <c r="Z71" s="255"/>
      <c r="AA71" s="255"/>
      <c r="AB71" s="255"/>
      <c r="AC71" s="255"/>
      <c r="BA71" s="277"/>
      <c r="BB71" s="277"/>
      <c r="BC71" s="277"/>
      <c r="BD71" s="277"/>
      <c r="BE71" s="277"/>
      <c r="BF71" s="277"/>
      <c r="BG71" s="277"/>
      <c r="BH71" s="277"/>
      <c r="BI71" s="277"/>
      <c r="BJ71" s="277"/>
      <c r="BK71" s="277"/>
      <c r="BL71" s="277"/>
      <c r="BM71" s="277"/>
      <c r="BN71" s="277"/>
      <c r="BO71" s="277"/>
      <c r="BP71" s="277"/>
      <c r="BQ71" s="277"/>
      <c r="BR71" s="277"/>
      <c r="BS71" s="277"/>
      <c r="BT71" s="277"/>
      <c r="BU71" s="277"/>
      <c r="BV71" s="277"/>
      <c r="BW71" s="277"/>
      <c r="BX71" s="277"/>
      <c r="BY71" s="277"/>
      <c r="BZ71" s="277"/>
      <c r="CA71" s="277"/>
      <c r="CB71" s="277"/>
      <c r="CC71" s="277"/>
      <c r="CD71" s="277"/>
      <c r="CE71" s="277"/>
      <c r="CF71" s="277"/>
      <c r="CG71" s="277"/>
      <c r="CH71" s="277"/>
      <c r="CI71" s="277"/>
      <c r="CJ71" s="277"/>
      <c r="CK71" s="277"/>
      <c r="CL71" s="277"/>
      <c r="CM71" s="277"/>
      <c r="CN71" s="277"/>
      <c r="CO71" s="277"/>
      <c r="CP71" s="277"/>
      <c r="CQ71" s="277"/>
      <c r="CR71" s="277"/>
      <c r="CS71" s="277"/>
      <c r="CT71" s="277"/>
      <c r="CU71" s="277"/>
      <c r="CV71" s="277"/>
      <c r="CW71" s="277"/>
      <c r="CX71" s="277"/>
      <c r="CY71" s="277"/>
      <c r="CZ71" s="277"/>
      <c r="DA71" s="277"/>
      <c r="DB71" s="277"/>
      <c r="DC71" s="277"/>
      <c r="DD71" s="277"/>
      <c r="DE71" s="277"/>
      <c r="DF71" s="277"/>
      <c r="DG71" s="277"/>
      <c r="DH71" s="277"/>
      <c r="DI71" s="277"/>
      <c r="DJ71" s="277"/>
      <c r="DK71" s="277"/>
    </row>
    <row r="72" spans="2:115">
      <c r="B72" s="89" t="s">
        <v>160</v>
      </c>
      <c r="C72" s="56" t="s">
        <v>112</v>
      </c>
      <c r="D72" s="63" t="s">
        <v>58</v>
      </c>
      <c r="G72" s="341">
        <f ca="1">OFFSET(G72,0,'Independent Model Outputs'!$F$64-1)</f>
        <v>0.2</v>
      </c>
      <c r="H72" s="201">
        <v>0.15</v>
      </c>
      <c r="I72" s="201">
        <v>0.2</v>
      </c>
      <c r="J72" s="201">
        <v>0.25</v>
      </c>
      <c r="K72" s="277"/>
      <c r="L72" s="277"/>
      <c r="M72" s="277"/>
      <c r="N72" s="277"/>
      <c r="O72" s="277"/>
      <c r="P72" s="277"/>
      <c r="Q72" s="277"/>
      <c r="R72" s="277"/>
      <c r="S72" s="277"/>
      <c r="T72" s="277"/>
      <c r="U72" s="277"/>
      <c r="V72" s="277"/>
      <c r="W72" s="277"/>
      <c r="X72" s="277"/>
      <c r="Y72" s="277"/>
      <c r="Z72" s="255"/>
      <c r="AA72" s="255"/>
      <c r="AB72" s="255"/>
      <c r="AC72" s="255"/>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c r="CJ72" s="277"/>
      <c r="CK72" s="277"/>
      <c r="CL72" s="277"/>
      <c r="CM72" s="277"/>
      <c r="CN72" s="277"/>
      <c r="CO72" s="277"/>
      <c r="CP72" s="277"/>
      <c r="CQ72" s="277"/>
      <c r="CR72" s="277"/>
      <c r="CS72" s="277"/>
      <c r="CT72" s="277"/>
      <c r="CU72" s="277"/>
      <c r="CV72" s="277"/>
      <c r="CW72" s="277"/>
      <c r="CX72" s="277"/>
      <c r="CY72" s="277"/>
      <c r="CZ72" s="277"/>
      <c r="DA72" s="277"/>
      <c r="DB72" s="277"/>
      <c r="DC72" s="277"/>
      <c r="DD72" s="277"/>
      <c r="DE72" s="277"/>
      <c r="DF72" s="277"/>
      <c r="DG72" s="277"/>
      <c r="DH72" s="277"/>
      <c r="DI72" s="277"/>
      <c r="DJ72" s="277"/>
      <c r="DK72" s="277"/>
    </row>
    <row r="73" spans="2:115">
      <c r="B73" s="89" t="s">
        <v>160</v>
      </c>
      <c r="C73" s="56" t="s">
        <v>159</v>
      </c>
      <c r="D73" s="63" t="s">
        <v>29</v>
      </c>
      <c r="G73" s="211">
        <f ca="1">OFFSET(G73,0,'Independent Model Outputs'!$F$64-1)</f>
        <v>500</v>
      </c>
      <c r="H73" s="200">
        <v>400</v>
      </c>
      <c r="I73" s="202">
        <v>500</v>
      </c>
      <c r="J73" s="200">
        <v>550</v>
      </c>
      <c r="K73" s="277"/>
      <c r="L73" s="277"/>
      <c r="M73" s="277"/>
      <c r="N73" s="277"/>
      <c r="O73" s="277"/>
      <c r="P73" s="277"/>
      <c r="Q73" s="277"/>
      <c r="R73" s="277"/>
      <c r="S73" s="277"/>
      <c r="T73" s="277"/>
      <c r="U73" s="277"/>
      <c r="V73" s="277"/>
      <c r="W73" s="277"/>
      <c r="X73" s="277"/>
      <c r="Y73" s="277"/>
      <c r="Z73" s="255"/>
      <c r="AA73" s="255"/>
      <c r="AB73" s="255"/>
      <c r="AC73" s="255"/>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c r="CJ73" s="277"/>
      <c r="CK73" s="277"/>
      <c r="CL73" s="277"/>
      <c r="CM73" s="277"/>
      <c r="CN73" s="277"/>
      <c r="CO73" s="277"/>
      <c r="CP73" s="277"/>
      <c r="CQ73" s="277"/>
      <c r="CR73" s="277"/>
      <c r="CS73" s="277"/>
      <c r="CT73" s="277"/>
      <c r="CU73" s="277"/>
      <c r="CV73" s="277"/>
      <c r="CW73" s="277"/>
      <c r="CX73" s="277"/>
      <c r="CY73" s="277"/>
      <c r="CZ73" s="277"/>
      <c r="DA73" s="277"/>
      <c r="DB73" s="277"/>
      <c r="DC73" s="277"/>
      <c r="DD73" s="277"/>
      <c r="DE73" s="277"/>
      <c r="DF73" s="277"/>
      <c r="DG73" s="277"/>
      <c r="DH73" s="277"/>
      <c r="DI73" s="277"/>
      <c r="DJ73" s="277"/>
      <c r="DK73" s="277"/>
    </row>
    <row r="74" spans="2:115">
      <c r="B74" s="89" t="s">
        <v>160</v>
      </c>
      <c r="C74" s="56" t="s">
        <v>684</v>
      </c>
      <c r="D74" s="63" t="s">
        <v>29</v>
      </c>
      <c r="G74" s="211">
        <f ca="1">OFFSET(G74,0,'Independent Model Outputs'!$F$64-1)</f>
        <v>60000</v>
      </c>
      <c r="H74" s="200">
        <v>40000</v>
      </c>
      <c r="I74" s="385">
        <v>60000</v>
      </c>
      <c r="J74" s="200">
        <v>70000</v>
      </c>
      <c r="K74" s="277"/>
      <c r="L74" s="277"/>
      <c r="M74" s="277"/>
      <c r="N74" s="277"/>
      <c r="O74" s="277"/>
      <c r="P74" s="277"/>
      <c r="Q74" s="277"/>
      <c r="R74" s="277"/>
      <c r="S74" s="277"/>
      <c r="T74" s="277"/>
      <c r="U74" s="277"/>
      <c r="V74" s="277"/>
      <c r="W74" s="277"/>
      <c r="X74" s="277"/>
      <c r="Y74" s="277"/>
      <c r="Z74" s="255"/>
      <c r="AA74" s="255"/>
      <c r="AB74" s="255"/>
      <c r="AC74" s="255"/>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c r="CJ74" s="277"/>
      <c r="CK74" s="277"/>
      <c r="CL74" s="277"/>
      <c r="CM74" s="277"/>
      <c r="CN74" s="277"/>
      <c r="CO74" s="277"/>
      <c r="CP74" s="277"/>
      <c r="CQ74" s="277"/>
      <c r="CR74" s="277"/>
      <c r="CS74" s="277"/>
      <c r="CT74" s="277"/>
      <c r="CU74" s="277"/>
      <c r="CV74" s="277"/>
      <c r="CW74" s="277"/>
      <c r="CX74" s="277"/>
      <c r="CY74" s="277"/>
      <c r="CZ74" s="277"/>
      <c r="DA74" s="277"/>
      <c r="DB74" s="277"/>
      <c r="DC74" s="277"/>
      <c r="DD74" s="277"/>
      <c r="DE74" s="277"/>
      <c r="DF74" s="277"/>
      <c r="DG74" s="277"/>
      <c r="DH74" s="277"/>
      <c r="DI74" s="277"/>
      <c r="DJ74" s="277"/>
      <c r="DK74" s="277"/>
    </row>
    <row r="75" spans="2:115">
      <c r="C75" s="56"/>
      <c r="D75" s="63"/>
      <c r="G75" s="209"/>
      <c r="H75" s="277"/>
      <c r="I75" s="277"/>
      <c r="J75" s="277"/>
      <c r="K75" s="277"/>
      <c r="L75" s="277"/>
      <c r="M75" s="277"/>
      <c r="N75" s="277"/>
      <c r="O75" s="277"/>
      <c r="P75" s="277"/>
      <c r="Q75" s="277"/>
      <c r="R75" s="277"/>
      <c r="S75" s="277"/>
      <c r="T75" s="277"/>
      <c r="U75" s="277"/>
      <c r="V75" s="277"/>
      <c r="W75" s="277"/>
      <c r="X75" s="277"/>
      <c r="Y75" s="277"/>
      <c r="Z75" s="255"/>
      <c r="AA75" s="255"/>
      <c r="AB75" s="255"/>
      <c r="AC75" s="255"/>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c r="CJ75" s="277"/>
      <c r="CK75" s="277"/>
      <c r="CL75" s="277"/>
      <c r="CM75" s="277"/>
      <c r="CN75" s="277"/>
      <c r="CO75" s="277"/>
      <c r="CP75" s="277"/>
      <c r="CQ75" s="277"/>
      <c r="CR75" s="277"/>
      <c r="CS75" s="277"/>
      <c r="CT75" s="277"/>
      <c r="CU75" s="277"/>
      <c r="CV75" s="277"/>
      <c r="CW75" s="277"/>
      <c r="CX75" s="277"/>
      <c r="CY75" s="277"/>
      <c r="CZ75" s="277"/>
      <c r="DA75" s="277"/>
      <c r="DB75" s="277"/>
      <c r="DC75" s="277"/>
      <c r="DD75" s="277"/>
      <c r="DE75" s="277"/>
      <c r="DF75" s="277"/>
      <c r="DG75" s="277"/>
      <c r="DH75" s="277"/>
      <c r="DI75" s="277"/>
      <c r="DJ75" s="277"/>
      <c r="DK75" s="277"/>
    </row>
    <row r="76" spans="2:115" ht="24.75" customHeight="1">
      <c r="B76" s="89" t="s">
        <v>160</v>
      </c>
      <c r="C76" s="56" t="s">
        <v>113</v>
      </c>
      <c r="D76" s="63" t="s">
        <v>58</v>
      </c>
      <c r="G76" s="212">
        <f ca="1">OFFSET(G76,0,'Independent Model Outputs'!$F$64-1)</f>
        <v>7.0000000000000007E-2</v>
      </c>
      <c r="H76" s="201">
        <v>0.05</v>
      </c>
      <c r="I76" s="201">
        <v>7.0000000000000007E-2</v>
      </c>
      <c r="J76" s="201">
        <v>0.1</v>
      </c>
      <c r="K76" s="277"/>
      <c r="L76" s="277"/>
      <c r="M76" s="277"/>
      <c r="N76" s="277"/>
      <c r="O76" s="277"/>
      <c r="P76" s="277"/>
      <c r="Q76" s="277"/>
      <c r="R76" s="277"/>
      <c r="S76" s="277"/>
      <c r="T76" s="277"/>
      <c r="U76" s="277"/>
      <c r="V76" s="277"/>
      <c r="W76" s="277"/>
      <c r="X76" s="277"/>
      <c r="Y76" s="277"/>
      <c r="Z76" s="255"/>
      <c r="AA76" s="255"/>
      <c r="AB76" s="255"/>
      <c r="AC76" s="255"/>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c r="CJ76" s="277"/>
      <c r="CK76" s="277"/>
      <c r="CL76" s="277"/>
      <c r="CM76" s="277"/>
      <c r="CN76" s="277"/>
      <c r="CO76" s="277"/>
      <c r="CP76" s="277"/>
      <c r="CQ76" s="277"/>
      <c r="CR76" s="277"/>
      <c r="CS76" s="277"/>
      <c r="CT76" s="277"/>
      <c r="CU76" s="277"/>
      <c r="CV76" s="277"/>
      <c r="CW76" s="277"/>
      <c r="CX76" s="277"/>
      <c r="CY76" s="277"/>
      <c r="CZ76" s="277"/>
      <c r="DA76" s="277"/>
      <c r="DB76" s="277"/>
      <c r="DC76" s="277"/>
      <c r="DD76" s="277"/>
      <c r="DE76" s="277"/>
      <c r="DF76" s="277"/>
      <c r="DG76" s="277"/>
      <c r="DH76" s="277"/>
      <c r="DI76" s="277"/>
      <c r="DJ76" s="277"/>
      <c r="DK76" s="277"/>
    </row>
    <row r="77" spans="2:115">
      <c r="C77" s="56"/>
      <c r="D77" s="63"/>
      <c r="G77" s="209"/>
      <c r="H77" s="277"/>
      <c r="I77" s="277"/>
      <c r="J77" s="277"/>
      <c r="K77" s="277"/>
      <c r="L77" s="277"/>
      <c r="M77" s="277"/>
      <c r="N77" s="277"/>
      <c r="O77" s="277"/>
      <c r="P77" s="277"/>
      <c r="Q77" s="277"/>
      <c r="R77" s="277"/>
      <c r="S77" s="277"/>
      <c r="T77" s="277"/>
      <c r="U77" s="277"/>
      <c r="V77" s="277"/>
      <c r="W77" s="277"/>
      <c r="X77" s="277"/>
      <c r="Y77" s="277"/>
      <c r="Z77" s="255"/>
      <c r="AA77" s="255"/>
      <c r="AB77" s="255"/>
      <c r="AC77" s="255"/>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c r="CJ77" s="277"/>
      <c r="CK77" s="277"/>
      <c r="CL77" s="277"/>
      <c r="CM77" s="277"/>
      <c r="CN77" s="277"/>
      <c r="CO77" s="277"/>
      <c r="CP77" s="277"/>
      <c r="CQ77" s="277"/>
      <c r="CR77" s="277"/>
      <c r="CS77" s="277"/>
      <c r="CT77" s="277"/>
      <c r="CU77" s="277"/>
      <c r="CV77" s="277"/>
      <c r="CW77" s="277"/>
      <c r="CX77" s="277"/>
      <c r="CY77" s="277"/>
      <c r="CZ77" s="277"/>
      <c r="DA77" s="277"/>
      <c r="DB77" s="277"/>
      <c r="DC77" s="277"/>
      <c r="DD77" s="277"/>
      <c r="DE77" s="277"/>
      <c r="DF77" s="277"/>
      <c r="DG77" s="277"/>
      <c r="DH77" s="277"/>
      <c r="DI77" s="277"/>
      <c r="DJ77" s="277"/>
      <c r="DK77" s="277"/>
    </row>
    <row r="78" spans="2:115">
      <c r="B78" s="89" t="s">
        <v>160</v>
      </c>
      <c r="C78" s="56" t="s">
        <v>114</v>
      </c>
      <c r="D78" s="63" t="s">
        <v>29</v>
      </c>
      <c r="G78" s="213">
        <f ca="1">OFFSET(G78,0,'Independent Model Outputs'!$F$64-1)</f>
        <v>0.36</v>
      </c>
      <c r="H78" s="206">
        <v>0.2</v>
      </c>
      <c r="I78" s="202">
        <v>0.36</v>
      </c>
      <c r="J78" s="206">
        <v>0.52</v>
      </c>
      <c r="K78" s="277"/>
      <c r="L78" s="208"/>
      <c r="M78" s="208"/>
      <c r="N78" s="208"/>
      <c r="O78" s="208"/>
      <c r="P78" s="208"/>
      <c r="Q78" s="277"/>
      <c r="R78" s="277"/>
      <c r="S78" s="277"/>
      <c r="T78" s="277"/>
      <c r="U78" s="277"/>
      <c r="V78" s="277"/>
      <c r="W78" s="277"/>
      <c r="X78" s="277"/>
      <c r="Y78" s="277"/>
      <c r="Z78" s="255"/>
      <c r="AA78" s="255"/>
      <c r="AB78" s="255"/>
      <c r="AC78" s="255"/>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c r="CJ78" s="277"/>
      <c r="CK78" s="277"/>
      <c r="CL78" s="277"/>
      <c r="CM78" s="277"/>
      <c r="CN78" s="277"/>
      <c r="CO78" s="277"/>
      <c r="CP78" s="277"/>
      <c r="CQ78" s="277"/>
      <c r="CR78" s="277"/>
      <c r="CS78" s="277"/>
      <c r="CT78" s="277"/>
      <c r="CU78" s="277"/>
      <c r="CV78" s="277"/>
      <c r="CW78" s="277"/>
      <c r="CX78" s="277"/>
      <c r="CY78" s="277"/>
      <c r="CZ78" s="277"/>
      <c r="DA78" s="277"/>
      <c r="DB78" s="277"/>
      <c r="DC78" s="277"/>
      <c r="DD78" s="277"/>
      <c r="DE78" s="277"/>
      <c r="DF78" s="277"/>
      <c r="DG78" s="277"/>
      <c r="DH78" s="277"/>
      <c r="DI78" s="277"/>
      <c r="DJ78" s="277"/>
      <c r="DK78" s="277"/>
    </row>
    <row r="79" spans="2:115">
      <c r="C79" s="56"/>
      <c r="D79" s="63"/>
      <c r="G79" s="209"/>
      <c r="H79" s="277"/>
      <c r="I79" s="277"/>
      <c r="J79" s="277"/>
      <c r="K79" s="277"/>
      <c r="L79" s="209"/>
      <c r="M79" s="209"/>
      <c r="N79" s="209"/>
      <c r="O79" s="209"/>
      <c r="P79" s="209"/>
      <c r="Q79" s="277"/>
      <c r="R79" s="277"/>
      <c r="S79" s="277"/>
      <c r="T79" s="277"/>
      <c r="U79" s="277"/>
      <c r="V79" s="277"/>
      <c r="W79" s="277"/>
      <c r="X79" s="277"/>
      <c r="Y79" s="277"/>
      <c r="Z79" s="255"/>
      <c r="AA79" s="255"/>
      <c r="AB79" s="255"/>
      <c r="AC79" s="255"/>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c r="CJ79" s="277"/>
      <c r="CK79" s="277"/>
      <c r="CL79" s="277"/>
      <c r="CM79" s="277"/>
      <c r="CN79" s="277"/>
      <c r="CO79" s="277"/>
      <c r="CP79" s="277"/>
      <c r="CQ79" s="277"/>
      <c r="CR79" s="277"/>
      <c r="CS79" s="277"/>
      <c r="CT79" s="277"/>
      <c r="CU79" s="277"/>
      <c r="CV79" s="277"/>
      <c r="CW79" s="277"/>
      <c r="CX79" s="277"/>
      <c r="CY79" s="277"/>
      <c r="CZ79" s="277"/>
      <c r="DA79" s="277"/>
      <c r="DB79" s="277"/>
      <c r="DC79" s="277"/>
      <c r="DD79" s="277"/>
      <c r="DE79" s="277"/>
      <c r="DF79" s="277"/>
      <c r="DG79" s="277"/>
      <c r="DH79" s="277"/>
      <c r="DI79" s="277"/>
      <c r="DJ79" s="277"/>
      <c r="DK79" s="277"/>
    </row>
    <row r="80" spans="2:115">
      <c r="B80" s="89" t="s">
        <v>160</v>
      </c>
      <c r="C80" s="56" t="s">
        <v>115</v>
      </c>
      <c r="D80" s="63" t="s">
        <v>116</v>
      </c>
      <c r="G80" s="96">
        <f ca="1">OFFSET(G80,0,'Independent Model Outputs'!$F$64-1)</f>
        <v>12</v>
      </c>
      <c r="H80" s="78">
        <v>12</v>
      </c>
      <c r="I80" s="78">
        <v>12</v>
      </c>
      <c r="J80" s="78">
        <v>12</v>
      </c>
      <c r="K80" s="277"/>
      <c r="L80" s="209"/>
      <c r="M80" s="209"/>
      <c r="N80" s="209"/>
      <c r="O80" s="209"/>
      <c r="P80" s="209"/>
      <c r="Q80" s="277"/>
      <c r="R80" s="277"/>
      <c r="S80" s="277"/>
      <c r="T80" s="277"/>
      <c r="U80" s="277"/>
      <c r="V80" s="277"/>
      <c r="W80" s="277"/>
      <c r="X80" s="277"/>
      <c r="Y80" s="277"/>
      <c r="Z80" s="255"/>
      <c r="AA80" s="255"/>
      <c r="AB80" s="255"/>
      <c r="AC80" s="255"/>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c r="CJ80" s="277"/>
      <c r="CK80" s="277"/>
      <c r="CL80" s="277"/>
      <c r="CM80" s="277"/>
      <c r="CN80" s="277"/>
      <c r="CO80" s="277"/>
      <c r="CP80" s="277"/>
      <c r="CQ80" s="277"/>
      <c r="CR80" s="277"/>
      <c r="CS80" s="277"/>
      <c r="CT80" s="277"/>
      <c r="CU80" s="277"/>
      <c r="CV80" s="277"/>
      <c r="CW80" s="277"/>
      <c r="CX80" s="277"/>
      <c r="CY80" s="277"/>
      <c r="CZ80" s="277"/>
      <c r="DA80" s="277"/>
      <c r="DB80" s="277"/>
      <c r="DC80" s="277"/>
      <c r="DD80" s="277"/>
      <c r="DE80" s="277"/>
      <c r="DF80" s="277"/>
      <c r="DG80" s="277"/>
      <c r="DH80" s="277"/>
      <c r="DI80" s="277"/>
      <c r="DJ80" s="277"/>
      <c r="DK80" s="277"/>
    </row>
    <row r="81" spans="2:115" ht="26.25">
      <c r="B81" s="89" t="s">
        <v>160</v>
      </c>
      <c r="C81" s="56" t="s">
        <v>117</v>
      </c>
      <c r="D81" s="63" t="s">
        <v>116</v>
      </c>
      <c r="G81" s="96">
        <f ca="1">OFFSET(G81,0,'Independent Model Outputs'!$F$64-1)</f>
        <v>22</v>
      </c>
      <c r="H81" s="78">
        <v>22</v>
      </c>
      <c r="I81" s="78">
        <v>22</v>
      </c>
      <c r="J81" s="78">
        <v>22</v>
      </c>
      <c r="K81" s="277"/>
      <c r="L81" s="209"/>
      <c r="M81" s="209"/>
      <c r="N81" s="209"/>
      <c r="O81" s="209"/>
      <c r="P81" s="209"/>
      <c r="Q81" s="277"/>
      <c r="R81" s="277"/>
      <c r="S81" s="277"/>
      <c r="T81" s="277"/>
      <c r="U81" s="277"/>
      <c r="V81" s="277"/>
      <c r="W81" s="277"/>
      <c r="X81" s="277"/>
      <c r="Y81" s="277"/>
      <c r="Z81" s="255"/>
      <c r="AA81" s="255"/>
      <c r="AB81" s="255"/>
      <c r="AC81" s="255"/>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c r="CJ81" s="277"/>
      <c r="CK81" s="277"/>
      <c r="CL81" s="277"/>
      <c r="CM81" s="277"/>
      <c r="CN81" s="277"/>
      <c r="CO81" s="277"/>
      <c r="CP81" s="277"/>
      <c r="CQ81" s="277"/>
      <c r="CR81" s="277"/>
      <c r="CS81" s="277"/>
      <c r="CT81" s="277"/>
      <c r="CU81" s="277"/>
      <c r="CV81" s="277"/>
      <c r="CW81" s="277"/>
      <c r="CX81" s="277"/>
      <c r="CY81" s="277"/>
      <c r="CZ81" s="277"/>
      <c r="DA81" s="277"/>
      <c r="DB81" s="277"/>
      <c r="DC81" s="277"/>
      <c r="DD81" s="277"/>
      <c r="DE81" s="277"/>
      <c r="DF81" s="277"/>
      <c r="DG81" s="277"/>
      <c r="DH81" s="277"/>
      <c r="DI81" s="277"/>
      <c r="DJ81" s="277"/>
      <c r="DK81" s="277"/>
    </row>
    <row r="82" spans="2:115" ht="26.25">
      <c r="B82" s="89" t="s">
        <v>160</v>
      </c>
      <c r="C82" s="56" t="s">
        <v>118</v>
      </c>
      <c r="D82" s="63" t="s">
        <v>116</v>
      </c>
      <c r="G82" s="96">
        <f ca="1">OFFSET(G82,0,'Independent Model Outputs'!$F$64-1)</f>
        <v>22</v>
      </c>
      <c r="H82" s="78">
        <v>22</v>
      </c>
      <c r="I82" s="78">
        <v>22</v>
      </c>
      <c r="J82" s="78">
        <v>22</v>
      </c>
      <c r="K82" s="277"/>
      <c r="L82" s="209"/>
      <c r="M82" s="209"/>
      <c r="N82" s="209"/>
      <c r="O82" s="209"/>
      <c r="P82" s="209"/>
      <c r="Q82" s="277"/>
      <c r="R82" s="277"/>
      <c r="S82" s="277"/>
      <c r="T82" s="277"/>
      <c r="U82" s="277"/>
      <c r="V82" s="277"/>
      <c r="W82" s="277"/>
      <c r="X82" s="277"/>
      <c r="Y82" s="277"/>
      <c r="Z82" s="255"/>
      <c r="AA82" s="255"/>
      <c r="AB82" s="255"/>
      <c r="AC82" s="255"/>
      <c r="BA82" s="277"/>
      <c r="BB82" s="277"/>
      <c r="BC82" s="277"/>
      <c r="BD82" s="277"/>
      <c r="BE82" s="277"/>
      <c r="BF82" s="277"/>
      <c r="BG82" s="277"/>
      <c r="BH82" s="277"/>
      <c r="BI82" s="277"/>
      <c r="BJ82" s="277"/>
      <c r="BK82" s="277"/>
      <c r="BL82" s="277"/>
      <c r="BM82" s="277"/>
      <c r="BN82" s="277"/>
      <c r="BO82" s="277"/>
      <c r="BP82" s="277"/>
      <c r="BQ82" s="277"/>
      <c r="BR82" s="277"/>
      <c r="BS82" s="277"/>
      <c r="BT82" s="277"/>
      <c r="BU82" s="277"/>
      <c r="BV82" s="277"/>
      <c r="BW82" s="277"/>
      <c r="BX82" s="277"/>
      <c r="BY82" s="277"/>
      <c r="BZ82" s="277"/>
      <c r="CA82" s="277"/>
      <c r="CB82" s="277"/>
      <c r="CC82" s="277"/>
      <c r="CD82" s="277"/>
      <c r="CE82" s="277"/>
      <c r="CF82" s="277"/>
      <c r="CG82" s="277"/>
      <c r="CH82" s="277"/>
      <c r="CI82" s="277"/>
      <c r="CJ82" s="277"/>
      <c r="CK82" s="277"/>
      <c r="CL82" s="277"/>
      <c r="CM82" s="277"/>
      <c r="CN82" s="277"/>
      <c r="CO82" s="277"/>
      <c r="CP82" s="277"/>
      <c r="CQ82" s="277"/>
      <c r="CR82" s="277"/>
      <c r="CS82" s="277"/>
      <c r="CT82" s="277"/>
      <c r="CU82" s="277"/>
      <c r="CV82" s="277"/>
      <c r="CW82" s="277"/>
      <c r="CX82" s="277"/>
      <c r="CY82" s="277"/>
      <c r="CZ82" s="277"/>
      <c r="DA82" s="277"/>
      <c r="DB82" s="277"/>
      <c r="DC82" s="277"/>
      <c r="DD82" s="277"/>
      <c r="DE82" s="277"/>
      <c r="DF82" s="277"/>
      <c r="DG82" s="277"/>
      <c r="DH82" s="277"/>
      <c r="DI82" s="277"/>
      <c r="DJ82" s="277"/>
      <c r="DK82" s="277"/>
    </row>
    <row r="83" spans="2:115">
      <c r="C83" s="56"/>
      <c r="D83" s="63"/>
      <c r="G83" s="209"/>
      <c r="H83" s="277"/>
      <c r="I83" s="277"/>
      <c r="J83" s="277"/>
      <c r="K83" s="277"/>
      <c r="L83" s="209"/>
      <c r="M83" s="209"/>
      <c r="N83" s="209"/>
      <c r="O83" s="209"/>
      <c r="P83" s="209"/>
      <c r="Q83" s="277"/>
      <c r="R83" s="277"/>
      <c r="S83" s="277"/>
      <c r="T83" s="277"/>
      <c r="U83" s="277"/>
      <c r="V83" s="277"/>
      <c r="W83" s="277"/>
      <c r="X83" s="277"/>
      <c r="Y83" s="277"/>
      <c r="Z83" s="255"/>
      <c r="AA83" s="255"/>
      <c r="AB83" s="255"/>
      <c r="AC83" s="255"/>
      <c r="BA83" s="277"/>
      <c r="BB83" s="277"/>
      <c r="BC83" s="277"/>
      <c r="BD83" s="277"/>
      <c r="BE83" s="277"/>
      <c r="BF83" s="277"/>
      <c r="BG83" s="277"/>
      <c r="BH83" s="277"/>
      <c r="BI83" s="277"/>
      <c r="BJ83" s="277"/>
      <c r="BK83" s="277"/>
      <c r="BL83" s="277"/>
      <c r="BM83" s="277"/>
      <c r="BN83" s="277"/>
      <c r="BO83" s="277"/>
      <c r="BP83" s="277"/>
      <c r="BQ83" s="277"/>
      <c r="BR83" s="277"/>
      <c r="BS83" s="277"/>
      <c r="BT83" s="277"/>
      <c r="BU83" s="277"/>
      <c r="BV83" s="277"/>
      <c r="BW83" s="277"/>
      <c r="BX83" s="277"/>
      <c r="BY83" s="277"/>
      <c r="BZ83" s="277"/>
      <c r="CA83" s="277"/>
      <c r="CB83" s="277"/>
      <c r="CC83" s="277"/>
      <c r="CD83" s="277"/>
      <c r="CE83" s="277"/>
      <c r="CF83" s="277"/>
      <c r="CG83" s="277"/>
      <c r="CH83" s="277"/>
      <c r="CI83" s="277"/>
      <c r="CJ83" s="277"/>
      <c r="CK83" s="277"/>
      <c r="CL83" s="277"/>
      <c r="CM83" s="277"/>
      <c r="CN83" s="277"/>
      <c r="CO83" s="277"/>
      <c r="CP83" s="277"/>
      <c r="CQ83" s="277"/>
      <c r="CR83" s="277"/>
      <c r="CS83" s="277"/>
      <c r="CT83" s="277"/>
      <c r="CU83" s="277"/>
      <c r="CV83" s="277"/>
      <c r="CW83" s="277"/>
      <c r="CX83" s="277"/>
      <c r="CY83" s="277"/>
      <c r="CZ83" s="277"/>
      <c r="DA83" s="277"/>
      <c r="DB83" s="277"/>
      <c r="DC83" s="277"/>
      <c r="DD83" s="277"/>
      <c r="DE83" s="277"/>
      <c r="DF83" s="277"/>
      <c r="DG83" s="277"/>
      <c r="DH83" s="277"/>
      <c r="DI83" s="277"/>
      <c r="DJ83" s="277"/>
      <c r="DK83" s="277"/>
    </row>
    <row r="84" spans="2:115">
      <c r="B84" s="89" t="s">
        <v>160</v>
      </c>
      <c r="C84" s="56" t="s">
        <v>119</v>
      </c>
      <c r="D84" s="63" t="s">
        <v>58</v>
      </c>
      <c r="G84" s="119">
        <f ca="1">OFFSET(G84,0,'Independent Model Outputs'!$F$64-1)</f>
        <v>0.75189004150531247</v>
      </c>
      <c r="H84" s="115">
        <v>0.75189004150531247</v>
      </c>
      <c r="I84" s="115">
        <v>0.75189004150531247</v>
      </c>
      <c r="J84" s="115">
        <v>0.75189004150531247</v>
      </c>
      <c r="K84" s="277"/>
      <c r="L84" s="209"/>
      <c r="M84" s="209"/>
      <c r="N84" s="209"/>
      <c r="O84" s="209"/>
      <c r="P84" s="209"/>
      <c r="Q84" s="277"/>
      <c r="R84" s="277"/>
      <c r="S84" s="277"/>
      <c r="T84" s="277"/>
      <c r="U84" s="277"/>
      <c r="V84" s="277"/>
      <c r="W84" s="277"/>
      <c r="X84" s="277"/>
      <c r="Y84" s="277"/>
      <c r="Z84" s="255"/>
      <c r="AA84" s="255"/>
      <c r="AB84" s="255"/>
      <c r="AC84" s="255"/>
      <c r="BA84" s="277"/>
      <c r="BB84" s="277"/>
      <c r="BC84" s="277"/>
      <c r="BD84" s="277"/>
      <c r="BE84" s="277"/>
      <c r="BF84" s="277"/>
      <c r="BG84" s="277"/>
      <c r="BH84" s="277"/>
      <c r="BI84" s="277"/>
      <c r="BJ84" s="277"/>
      <c r="BK84" s="277"/>
      <c r="BL84" s="277"/>
      <c r="BM84" s="277"/>
      <c r="BN84" s="277"/>
      <c r="BO84" s="277"/>
      <c r="BP84" s="277"/>
      <c r="BQ84" s="277"/>
      <c r="BR84" s="277"/>
      <c r="BS84" s="277"/>
      <c r="BT84" s="277"/>
      <c r="BU84" s="277"/>
      <c r="BV84" s="277"/>
      <c r="BW84" s="277"/>
      <c r="BX84" s="277"/>
      <c r="BY84" s="277"/>
      <c r="BZ84" s="277"/>
      <c r="CA84" s="277"/>
      <c r="CB84" s="277"/>
      <c r="CC84" s="277"/>
      <c r="CD84" s="277"/>
      <c r="CE84" s="277"/>
      <c r="CF84" s="277"/>
      <c r="CG84" s="277"/>
      <c r="CH84" s="277"/>
      <c r="CI84" s="277"/>
      <c r="CJ84" s="277"/>
      <c r="CK84" s="277"/>
      <c r="CL84" s="277"/>
      <c r="CM84" s="277"/>
      <c r="CN84" s="277"/>
      <c r="CO84" s="277"/>
      <c r="CP84" s="277"/>
      <c r="CQ84" s="277"/>
      <c r="CR84" s="277"/>
      <c r="CS84" s="277"/>
      <c r="CT84" s="277"/>
      <c r="CU84" s="277"/>
      <c r="CV84" s="277"/>
      <c r="CW84" s="277"/>
      <c r="CX84" s="277"/>
      <c r="CY84" s="277"/>
      <c r="CZ84" s="277"/>
      <c r="DA84" s="277"/>
      <c r="DB84" s="277"/>
      <c r="DC84" s="277"/>
      <c r="DD84" s="277"/>
      <c r="DE84" s="277"/>
      <c r="DF84" s="277"/>
      <c r="DG84" s="277"/>
      <c r="DH84" s="277"/>
      <c r="DI84" s="277"/>
      <c r="DJ84" s="277"/>
      <c r="DK84" s="277"/>
    </row>
    <row r="85" spans="2:115">
      <c r="B85" s="89" t="s">
        <v>160</v>
      </c>
      <c r="C85" s="56" t="s">
        <v>674</v>
      </c>
      <c r="D85" s="63" t="s">
        <v>58</v>
      </c>
      <c r="G85" s="98">
        <f ca="1">OFFSET(G85,0,'Independent Model Outputs'!$F$64-1)</f>
        <v>7.2893546144473895E-2</v>
      </c>
      <c r="H85" s="79">
        <v>7.2893546144473895E-2</v>
      </c>
      <c r="I85" s="79">
        <v>7.2893546144473895E-2</v>
      </c>
      <c r="J85" s="79">
        <v>7.2893546144473895E-2</v>
      </c>
      <c r="K85" s="277"/>
      <c r="L85" s="209"/>
      <c r="M85" s="209"/>
      <c r="N85" s="209"/>
      <c r="O85" s="209"/>
      <c r="P85" s="209"/>
      <c r="Q85" s="277"/>
      <c r="R85" s="277"/>
      <c r="S85" s="277"/>
      <c r="T85" s="277"/>
      <c r="U85" s="277"/>
      <c r="V85" s="277"/>
      <c r="W85" s="277"/>
      <c r="X85" s="277"/>
      <c r="Y85" s="277"/>
      <c r="Z85" s="255"/>
      <c r="AA85" s="255"/>
      <c r="AB85" s="255"/>
      <c r="AC85" s="255"/>
      <c r="BA85" s="277"/>
      <c r="BB85" s="277"/>
      <c r="BC85" s="277"/>
      <c r="BD85" s="277"/>
      <c r="BE85" s="277"/>
      <c r="BF85" s="277"/>
      <c r="BG85" s="277"/>
      <c r="BH85" s="277"/>
      <c r="BI85" s="277"/>
      <c r="BJ85" s="277"/>
      <c r="BK85" s="277"/>
      <c r="BL85" s="277"/>
      <c r="BM85" s="277"/>
      <c r="BN85" s="277"/>
      <c r="BO85" s="277"/>
      <c r="BP85" s="277"/>
      <c r="BQ85" s="277"/>
      <c r="BR85" s="277"/>
      <c r="BS85" s="277"/>
      <c r="BT85" s="277"/>
      <c r="BU85" s="277"/>
      <c r="BV85" s="277"/>
      <c r="BW85" s="277"/>
      <c r="BX85" s="277"/>
      <c r="BY85" s="277"/>
      <c r="BZ85" s="277"/>
      <c r="CA85" s="277"/>
      <c r="CB85" s="277"/>
      <c r="CC85" s="277"/>
      <c r="CD85" s="277"/>
      <c r="CE85" s="277"/>
      <c r="CF85" s="277"/>
      <c r="CG85" s="277"/>
      <c r="CH85" s="277"/>
      <c r="CI85" s="277"/>
      <c r="CJ85" s="277"/>
      <c r="CK85" s="277"/>
      <c r="CL85" s="277"/>
      <c r="CM85" s="277"/>
      <c r="CN85" s="277"/>
      <c r="CO85" s="277"/>
      <c r="CP85" s="277"/>
      <c r="CQ85" s="277"/>
      <c r="CR85" s="277"/>
      <c r="CS85" s="277"/>
      <c r="CT85" s="277"/>
      <c r="CU85" s="277"/>
      <c r="CV85" s="277"/>
      <c r="CW85" s="277"/>
      <c r="CX85" s="277"/>
      <c r="CY85" s="277"/>
      <c r="CZ85" s="277"/>
      <c r="DA85" s="277"/>
      <c r="DB85" s="277"/>
      <c r="DC85" s="277"/>
      <c r="DD85" s="277"/>
      <c r="DE85" s="277"/>
      <c r="DF85" s="277"/>
      <c r="DG85" s="277"/>
      <c r="DH85" s="277"/>
      <c r="DI85" s="277"/>
      <c r="DJ85" s="277"/>
      <c r="DK85" s="277"/>
    </row>
    <row r="86" spans="2:115">
      <c r="B86" s="89" t="s">
        <v>160</v>
      </c>
      <c r="C86" s="56" t="s">
        <v>675</v>
      </c>
      <c r="D86" s="63" t="s">
        <v>58</v>
      </c>
      <c r="G86" s="98">
        <f ca="1">OFFSET(G86,0,'Independent Model Outputs'!$F$64-1)</f>
        <v>0.17521641235021351</v>
      </c>
      <c r="H86" s="79">
        <v>0.17521641235021351</v>
      </c>
      <c r="I86" s="79">
        <v>0.17521641235021351</v>
      </c>
      <c r="J86" s="79">
        <v>0.17521641235021351</v>
      </c>
      <c r="K86" s="277"/>
      <c r="L86" s="209"/>
      <c r="M86" s="209"/>
      <c r="N86" s="209"/>
      <c r="O86" s="209"/>
      <c r="P86" s="209"/>
      <c r="Q86" s="277"/>
      <c r="R86" s="277"/>
      <c r="S86" s="277"/>
      <c r="T86" s="277"/>
      <c r="U86" s="277"/>
      <c r="V86" s="277"/>
      <c r="W86" s="277"/>
      <c r="X86" s="277"/>
      <c r="Y86" s="277"/>
      <c r="Z86" s="255"/>
      <c r="AA86" s="255"/>
      <c r="AB86" s="255"/>
      <c r="AC86" s="255"/>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277"/>
      <c r="DK86" s="277"/>
    </row>
    <row r="87" spans="2:115">
      <c r="C87" s="56"/>
      <c r="D87" s="63"/>
      <c r="G87" s="63"/>
      <c r="H87" s="277"/>
      <c r="I87" s="277"/>
      <c r="J87" s="277"/>
      <c r="K87" s="277"/>
      <c r="L87" s="209"/>
      <c r="M87" s="209"/>
      <c r="N87" s="209"/>
      <c r="O87" s="209"/>
      <c r="P87" s="209"/>
      <c r="Q87" s="277"/>
      <c r="R87" s="277"/>
      <c r="S87" s="277"/>
      <c r="T87" s="277"/>
      <c r="U87" s="277"/>
      <c r="V87" s="277"/>
      <c r="W87" s="277"/>
      <c r="X87" s="277"/>
      <c r="Y87" s="277"/>
      <c r="Z87" s="255"/>
      <c r="AA87" s="255"/>
      <c r="AB87" s="255"/>
      <c r="AC87" s="255"/>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277"/>
      <c r="DK87" s="277"/>
    </row>
    <row r="88" spans="2:115">
      <c r="B88" s="89" t="s">
        <v>160</v>
      </c>
      <c r="C88" s="56" t="s">
        <v>120</v>
      </c>
      <c r="D88" s="63"/>
      <c r="G88" s="425">
        <v>14.481099584946872</v>
      </c>
      <c r="H88" s="277"/>
      <c r="I88" s="277"/>
      <c r="J88" s="277"/>
      <c r="K88" s="277"/>
      <c r="L88" s="209"/>
      <c r="M88" s="209"/>
      <c r="N88" s="209"/>
      <c r="O88" s="209"/>
      <c r="P88" s="209"/>
      <c r="Q88" s="277"/>
      <c r="R88" s="277"/>
      <c r="S88" s="343"/>
      <c r="T88" s="277"/>
      <c r="U88" s="277"/>
      <c r="V88" s="277"/>
      <c r="W88" s="277"/>
      <c r="X88" s="277"/>
      <c r="Y88" s="277"/>
      <c r="Z88" s="255"/>
      <c r="AA88" s="255"/>
      <c r="AB88" s="255"/>
      <c r="AC88" s="255"/>
      <c r="AK88" s="343"/>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277"/>
      <c r="DK88" s="277"/>
    </row>
    <row r="89" spans="2:115">
      <c r="C89" s="277"/>
      <c r="D89" s="63"/>
      <c r="G89" s="63"/>
      <c r="H89" s="277"/>
      <c r="I89" s="277"/>
      <c r="J89" s="277"/>
      <c r="K89" s="277"/>
      <c r="L89" s="209"/>
      <c r="M89" s="209"/>
      <c r="N89" s="209"/>
      <c r="O89" s="209"/>
      <c r="P89" s="209"/>
      <c r="Q89" s="277"/>
      <c r="R89" s="277"/>
      <c r="S89" s="277"/>
      <c r="T89" s="277"/>
      <c r="U89" s="277"/>
      <c r="V89" s="277"/>
      <c r="W89" s="277"/>
      <c r="X89" s="277"/>
      <c r="Y89" s="277"/>
      <c r="Z89" s="255"/>
      <c r="AA89" s="255"/>
      <c r="AB89" s="255"/>
      <c r="AC89" s="255"/>
      <c r="BA89" s="277"/>
      <c r="BB89" s="277"/>
      <c r="BC89" s="277"/>
      <c r="BD89" s="277"/>
      <c r="BE89" s="277"/>
      <c r="BF89" s="277"/>
      <c r="BG89" s="277"/>
      <c r="BH89" s="277"/>
      <c r="BI89" s="277"/>
      <c r="BJ89" s="277"/>
      <c r="BK89" s="277"/>
      <c r="BL89" s="277"/>
      <c r="BM89" s="277"/>
      <c r="BN89" s="277"/>
      <c r="BO89" s="277"/>
      <c r="BP89" s="277"/>
      <c r="BQ89" s="277"/>
      <c r="BR89" s="277"/>
      <c r="BS89" s="277"/>
      <c r="BT89" s="277"/>
      <c r="BU89" s="277"/>
      <c r="BV89" s="277"/>
      <c r="BW89" s="277"/>
      <c r="BX89" s="277"/>
      <c r="BY89" s="277"/>
      <c r="BZ89" s="277"/>
      <c r="CA89" s="277"/>
      <c r="CB89" s="277"/>
      <c r="CC89" s="277"/>
      <c r="CD89" s="277"/>
      <c r="CE89" s="277"/>
      <c r="CF89" s="277"/>
      <c r="CG89" s="277"/>
      <c r="CH89" s="277"/>
      <c r="CI89" s="277"/>
      <c r="CJ89" s="277"/>
      <c r="CK89" s="277"/>
      <c r="CL89" s="277"/>
      <c r="CM89" s="277"/>
      <c r="CN89" s="277"/>
      <c r="CO89" s="277"/>
      <c r="CP89" s="277"/>
      <c r="CQ89" s="277"/>
      <c r="CR89" s="277"/>
      <c r="CS89" s="277"/>
      <c r="CT89" s="277"/>
      <c r="CU89" s="277"/>
      <c r="CV89" s="277"/>
      <c r="CW89" s="277"/>
      <c r="CX89" s="277"/>
      <c r="CY89" s="277"/>
      <c r="CZ89" s="277"/>
      <c r="DA89" s="277"/>
      <c r="DB89" s="277"/>
      <c r="DC89" s="277"/>
      <c r="DD89" s="277"/>
      <c r="DE89" s="277"/>
      <c r="DF89" s="277"/>
      <c r="DG89" s="277"/>
      <c r="DH89" s="277"/>
      <c r="DI89" s="277"/>
      <c r="DJ89" s="277"/>
      <c r="DK89" s="277"/>
    </row>
    <row r="90" spans="2:115">
      <c r="B90" s="89" t="s">
        <v>160</v>
      </c>
      <c r="C90" s="56" t="s">
        <v>222</v>
      </c>
      <c r="D90" s="140" t="s">
        <v>58</v>
      </c>
      <c r="G90" s="98">
        <f ca="1">OFFSET(G90,0,'Independent Model Outputs'!$F$64-1)</f>
        <v>0.2</v>
      </c>
      <c r="H90" s="79">
        <v>0.2</v>
      </c>
      <c r="I90" s="79">
        <v>0.2</v>
      </c>
      <c r="J90" s="79">
        <v>0.2</v>
      </c>
      <c r="K90" s="277"/>
      <c r="L90" s="98"/>
      <c r="M90" s="98"/>
      <c r="N90" s="98"/>
      <c r="O90" s="98"/>
      <c r="P90" s="98"/>
      <c r="Q90" s="277"/>
      <c r="R90" s="277"/>
      <c r="S90" s="277"/>
      <c r="T90" s="277"/>
      <c r="U90" s="277"/>
      <c r="V90" s="277"/>
      <c r="W90" s="277"/>
      <c r="X90" s="277"/>
      <c r="Y90" s="277"/>
      <c r="Z90" s="255"/>
      <c r="AA90" s="255"/>
      <c r="AB90" s="255"/>
      <c r="AC90" s="255"/>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row>
    <row r="91" spans="2:115">
      <c r="C91" s="277"/>
      <c r="G91" s="209"/>
      <c r="H91" s="277"/>
      <c r="I91" s="277"/>
      <c r="J91" s="277"/>
      <c r="K91" s="277"/>
      <c r="L91" s="209"/>
      <c r="M91" s="209"/>
      <c r="N91" s="209"/>
      <c r="O91" s="209"/>
      <c r="P91" s="209"/>
      <c r="Q91" s="277"/>
      <c r="R91" s="277"/>
      <c r="S91" s="277"/>
      <c r="T91" s="277"/>
      <c r="U91" s="277"/>
      <c r="V91" s="277"/>
      <c r="W91" s="277"/>
      <c r="X91" s="277"/>
      <c r="Y91" s="277"/>
      <c r="Z91" s="255"/>
      <c r="AA91" s="255"/>
      <c r="AB91" s="255"/>
      <c r="AC91" s="255"/>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row>
    <row r="92" spans="2:115">
      <c r="B92" s="89" t="s">
        <v>243</v>
      </c>
      <c r="C92" s="92" t="s">
        <v>132</v>
      </c>
      <c r="D92" s="32" t="s">
        <v>29</v>
      </c>
      <c r="E92" s="32" t="s">
        <v>59</v>
      </c>
      <c r="F92" s="92"/>
      <c r="G92" s="210">
        <f ca="1">OFFSET(G92,0,'Independent Model Outputs'!$F$64-1)</f>
        <v>2.7</v>
      </c>
      <c r="H92" s="195">
        <v>2</v>
      </c>
      <c r="I92" s="350">
        <v>2.7</v>
      </c>
      <c r="J92" s="195">
        <v>3.3</v>
      </c>
      <c r="K92" s="277"/>
      <c r="L92" s="277"/>
      <c r="M92" s="277"/>
      <c r="N92" s="277"/>
      <c r="O92" s="277"/>
      <c r="P92" s="277"/>
      <c r="Q92" s="277"/>
      <c r="R92" s="277"/>
      <c r="S92" s="277"/>
      <c r="T92" s="277"/>
      <c r="U92" s="277"/>
      <c r="V92" s="277"/>
      <c r="W92" s="277"/>
      <c r="X92" s="277"/>
      <c r="Y92" s="277"/>
      <c r="Z92" s="255"/>
      <c r="AA92" s="255"/>
      <c r="AB92" s="255"/>
      <c r="AC92" s="255"/>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277"/>
      <c r="DK92" s="277"/>
    </row>
    <row r="93" spans="2:115" s="277" customFormat="1" ht="15.75" customHeight="1">
      <c r="B93" s="89" t="s">
        <v>243</v>
      </c>
      <c r="C93" s="92" t="s">
        <v>488</v>
      </c>
      <c r="D93" s="32"/>
      <c r="E93" s="32"/>
      <c r="F93" s="92"/>
      <c r="G93" s="210">
        <f ca="1">OFFSET(G93,0,'Independent Model Outputs'!$F$64-1)</f>
        <v>0.5</v>
      </c>
      <c r="H93" s="195">
        <v>0.25</v>
      </c>
      <c r="I93" s="383">
        <v>0.5</v>
      </c>
      <c r="J93" s="195">
        <v>0.75</v>
      </c>
    </row>
    <row r="94" spans="2:115">
      <c r="C94" s="277"/>
      <c r="G94" s="209"/>
      <c r="H94" s="277"/>
      <c r="I94" s="292"/>
      <c r="J94" s="277"/>
      <c r="K94" s="277"/>
      <c r="L94" s="277"/>
      <c r="M94" s="277"/>
      <c r="N94" s="277"/>
      <c r="O94" s="277"/>
      <c r="P94" s="277"/>
      <c r="Q94" s="277"/>
      <c r="R94" s="277"/>
      <c r="S94" s="277"/>
      <c r="T94" s="277"/>
      <c r="U94" s="277"/>
      <c r="V94" s="277"/>
      <c r="W94" s="277"/>
      <c r="X94" s="277"/>
      <c r="Y94" s="277"/>
      <c r="Z94" s="255"/>
      <c r="AA94" s="255"/>
      <c r="AB94" s="255"/>
      <c r="AC94" s="255"/>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row>
    <row r="95" spans="2:115" ht="25.5">
      <c r="B95" s="89" t="s">
        <v>160</v>
      </c>
      <c r="C95" s="92" t="s">
        <v>133</v>
      </c>
      <c r="D95" s="32" t="s">
        <v>29</v>
      </c>
      <c r="E95" s="32" t="s">
        <v>59</v>
      </c>
      <c r="F95" s="92"/>
      <c r="G95" s="210">
        <f ca="1">OFFSET(G95,0,'Independent Model Outputs'!$F$64-1)</f>
        <v>1.08</v>
      </c>
      <c r="H95" s="195">
        <v>0.54</v>
      </c>
      <c r="I95" s="383">
        <v>1.08</v>
      </c>
      <c r="J95" s="195">
        <f>0.54*3</f>
        <v>1.62</v>
      </c>
      <c r="K95" s="277"/>
      <c r="L95" s="277"/>
      <c r="M95" s="277"/>
      <c r="N95" s="277"/>
      <c r="O95" s="277"/>
      <c r="P95" s="277"/>
      <c r="Q95" s="277"/>
      <c r="R95" s="281"/>
      <c r="S95" s="277"/>
      <c r="T95" s="277"/>
      <c r="U95" s="277"/>
      <c r="V95" s="277"/>
      <c r="W95" s="277"/>
      <c r="X95" s="277"/>
      <c r="Y95" s="277"/>
      <c r="Z95" s="255"/>
      <c r="AA95" s="255"/>
      <c r="AB95" s="255"/>
      <c r="AC95" s="255"/>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c r="DG95" s="277"/>
      <c r="DH95" s="277"/>
      <c r="DI95" s="277"/>
      <c r="DJ95" s="277"/>
      <c r="DK95" s="277"/>
    </row>
    <row r="96" spans="2:115">
      <c r="C96" s="277"/>
      <c r="H96" s="277"/>
      <c r="I96" s="277"/>
      <c r="J96" s="277"/>
      <c r="K96" s="277"/>
      <c r="L96" s="277"/>
      <c r="M96" s="277"/>
      <c r="N96" s="277"/>
      <c r="O96" s="277"/>
      <c r="P96" s="277"/>
      <c r="Q96" s="277"/>
      <c r="R96" s="277"/>
      <c r="S96" s="277"/>
      <c r="T96" s="277"/>
      <c r="U96" s="277"/>
      <c r="V96" s="277"/>
      <c r="W96" s="277"/>
      <c r="X96" s="277"/>
      <c r="Y96" s="277"/>
      <c r="Z96" s="255"/>
      <c r="AA96" s="255"/>
      <c r="AB96" s="255"/>
      <c r="AC96" s="255"/>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c r="DG96" s="277"/>
      <c r="DH96" s="277"/>
      <c r="DI96" s="277"/>
      <c r="DJ96" s="277"/>
      <c r="DK96" s="277"/>
    </row>
    <row r="97" spans="2:115">
      <c r="C97" s="277"/>
      <c r="G97" s="64"/>
      <c r="H97" s="277"/>
      <c r="I97" s="277"/>
      <c r="J97" s="277"/>
      <c r="K97" s="277"/>
      <c r="L97" s="261"/>
      <c r="M97" s="261"/>
      <c r="N97" s="261"/>
      <c r="O97" s="261"/>
      <c r="P97" s="261"/>
      <c r="Q97" s="277"/>
      <c r="R97" s="277"/>
      <c r="S97" s="277"/>
      <c r="T97" s="277"/>
      <c r="U97" s="277"/>
      <c r="V97" s="277"/>
      <c r="W97" s="277"/>
      <c r="X97" s="277"/>
      <c r="Y97" s="277"/>
      <c r="Z97" s="255"/>
      <c r="AA97" s="255"/>
      <c r="AB97" s="255"/>
      <c r="AC97" s="255"/>
      <c r="BA97" s="277"/>
      <c r="BB97" s="277"/>
      <c r="BC97" s="277"/>
      <c r="BD97" s="277"/>
      <c r="BE97" s="277"/>
      <c r="BF97" s="277"/>
      <c r="BG97" s="277"/>
      <c r="BH97" s="277"/>
      <c r="BI97" s="277"/>
      <c r="BJ97" s="277"/>
      <c r="BK97" s="277"/>
      <c r="BL97" s="277"/>
      <c r="BM97" s="277"/>
      <c r="BN97" s="277"/>
      <c r="BO97" s="277"/>
      <c r="BP97" s="277"/>
      <c r="BQ97" s="277"/>
      <c r="BR97" s="277"/>
      <c r="BS97" s="277"/>
      <c r="BT97" s="277"/>
      <c r="BU97" s="277"/>
      <c r="BV97" s="277"/>
      <c r="BW97" s="277"/>
      <c r="BX97" s="277"/>
      <c r="BY97" s="277"/>
      <c r="BZ97" s="277"/>
      <c r="CA97" s="277"/>
      <c r="CB97" s="277"/>
      <c r="CC97" s="277"/>
      <c r="CD97" s="277"/>
      <c r="CE97" s="277"/>
      <c r="CF97" s="277"/>
      <c r="CG97" s="277"/>
      <c r="CH97" s="277"/>
      <c r="CI97" s="277"/>
      <c r="CJ97" s="277"/>
      <c r="CK97" s="277"/>
      <c r="CL97" s="277"/>
      <c r="CM97" s="277"/>
      <c r="CN97" s="277"/>
      <c r="CO97" s="277"/>
      <c r="CP97" s="277"/>
      <c r="CQ97" s="277"/>
      <c r="CR97" s="277"/>
      <c r="CS97" s="277"/>
      <c r="CT97" s="277"/>
      <c r="CU97" s="277"/>
      <c r="CV97" s="277"/>
      <c r="CW97" s="277"/>
      <c r="CX97" s="277"/>
      <c r="CY97" s="277"/>
      <c r="CZ97" s="277"/>
      <c r="DA97" s="277"/>
      <c r="DB97" s="277"/>
      <c r="DC97" s="277"/>
      <c r="DD97" s="277"/>
      <c r="DE97" s="277"/>
      <c r="DF97" s="277"/>
      <c r="DG97" s="277"/>
      <c r="DH97" s="277"/>
      <c r="DI97" s="277"/>
      <c r="DJ97" s="277"/>
      <c r="DK97" s="277"/>
    </row>
    <row r="98" spans="2:115">
      <c r="B98" s="89" t="s">
        <v>243</v>
      </c>
      <c r="C98" s="277" t="s">
        <v>379</v>
      </c>
      <c r="D98" s="140" t="s">
        <v>58</v>
      </c>
      <c r="G98" s="300">
        <f ca="1">OFFSET(G98,0,'Independent Model Outputs'!$F$64-1)</f>
        <v>0.6</v>
      </c>
      <c r="H98" s="299">
        <v>0.6</v>
      </c>
      <c r="I98" s="299">
        <v>0.6</v>
      </c>
      <c r="J98" s="299">
        <v>0.6</v>
      </c>
      <c r="K98" s="277"/>
      <c r="L98" s="261"/>
      <c r="M98" s="261"/>
      <c r="N98" s="261"/>
      <c r="O98" s="261"/>
      <c r="P98" s="261"/>
      <c r="Q98" s="277"/>
      <c r="R98" s="277"/>
      <c r="S98" s="277"/>
      <c r="T98" s="277"/>
      <c r="U98" s="277"/>
      <c r="V98" s="277"/>
      <c r="W98" s="277"/>
      <c r="X98" s="277"/>
      <c r="Y98" s="277"/>
      <c r="Z98" s="255"/>
      <c r="AA98" s="255"/>
      <c r="AB98" s="255"/>
      <c r="AC98" s="255"/>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row>
    <row r="99" spans="2:115">
      <c r="C99" s="277"/>
      <c r="G99" s="40"/>
      <c r="H99" s="277"/>
      <c r="I99" s="277"/>
      <c r="J99" s="277"/>
      <c r="K99" s="277"/>
      <c r="L99" s="261"/>
      <c r="M99" s="261"/>
      <c r="N99" s="261"/>
      <c r="O99" s="261"/>
      <c r="P99" s="261"/>
      <c r="Q99" s="277"/>
      <c r="R99" s="277"/>
      <c r="S99" s="277"/>
      <c r="T99" s="277"/>
      <c r="U99" s="277"/>
      <c r="V99" s="277"/>
      <c r="W99" s="277"/>
      <c r="X99" s="277"/>
      <c r="Y99" s="277"/>
      <c r="Z99" s="255"/>
      <c r="AA99" s="255"/>
      <c r="AB99" s="255"/>
      <c r="AC99" s="255"/>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c r="DG99" s="277"/>
      <c r="DH99" s="277"/>
      <c r="DI99" s="277"/>
      <c r="DJ99" s="277"/>
      <c r="DK99" s="277"/>
    </row>
    <row r="100" spans="2:115">
      <c r="B100" s="89" t="s">
        <v>243</v>
      </c>
      <c r="C100" s="277" t="s">
        <v>380</v>
      </c>
      <c r="D100" s="140" t="s">
        <v>58</v>
      </c>
      <c r="G100" s="300">
        <f ca="1">OFFSET(G100,0,'Independent Model Outputs'!$F$64-1)</f>
        <v>0.1</v>
      </c>
      <c r="H100" s="299">
        <v>0.1</v>
      </c>
      <c r="I100" s="299">
        <v>0.1</v>
      </c>
      <c r="J100" s="299">
        <v>0.1</v>
      </c>
      <c r="K100" s="277"/>
      <c r="L100" s="261"/>
      <c r="M100" s="261"/>
      <c r="N100" s="261"/>
      <c r="O100" s="261"/>
      <c r="P100" s="261"/>
      <c r="Q100" s="277"/>
      <c r="R100" s="277"/>
      <c r="S100" s="277"/>
      <c r="T100" s="277"/>
      <c r="U100" s="277"/>
      <c r="V100" s="277"/>
      <c r="W100" s="277"/>
      <c r="X100" s="277"/>
      <c r="Y100" s="277"/>
      <c r="Z100" s="255"/>
      <c r="AA100" s="255"/>
      <c r="AB100" s="255"/>
      <c r="AC100" s="255"/>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277"/>
      <c r="DB100" s="277"/>
      <c r="DC100" s="277"/>
      <c r="DD100" s="277"/>
      <c r="DE100" s="277"/>
      <c r="DF100" s="277"/>
      <c r="DG100" s="277"/>
      <c r="DH100" s="277"/>
      <c r="DI100" s="277"/>
      <c r="DJ100" s="277"/>
      <c r="DK100" s="277"/>
    </row>
    <row r="101" spans="2:115">
      <c r="G101" s="65"/>
      <c r="H101" s="277"/>
      <c r="I101" s="277"/>
      <c r="J101" s="277"/>
      <c r="K101" s="277"/>
      <c r="L101" s="261"/>
      <c r="M101" s="261"/>
      <c r="N101" s="261"/>
      <c r="O101" s="261"/>
      <c r="P101" s="261"/>
      <c r="Q101" s="277"/>
      <c r="R101" s="277"/>
      <c r="S101" s="277"/>
      <c r="T101" s="277"/>
      <c r="U101" s="277"/>
      <c r="V101" s="277"/>
      <c r="W101" s="277"/>
      <c r="X101" s="277"/>
      <c r="Y101" s="277"/>
      <c r="Z101" s="255"/>
      <c r="AA101" s="255"/>
      <c r="AB101" s="255"/>
      <c r="AC101" s="255"/>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c r="CX101" s="277"/>
      <c r="CY101" s="277"/>
      <c r="CZ101" s="277"/>
      <c r="DA101" s="277"/>
      <c r="DB101" s="277"/>
      <c r="DC101" s="277"/>
      <c r="DD101" s="277"/>
      <c r="DE101" s="277"/>
      <c r="DF101" s="277"/>
      <c r="DG101" s="277"/>
      <c r="DH101" s="277"/>
      <c r="DI101" s="277"/>
      <c r="DJ101" s="277"/>
      <c r="DK101" s="277"/>
    </row>
    <row r="102" spans="2:115">
      <c r="B102" s="89" t="s">
        <v>382</v>
      </c>
      <c r="C102" s="140" t="s">
        <v>381</v>
      </c>
      <c r="D102" s="140" t="s">
        <v>58</v>
      </c>
      <c r="G102" s="300">
        <f ca="1">OFFSET(G102,0,'Independent Model Outputs'!$F$64-1)</f>
        <v>0.1</v>
      </c>
      <c r="H102" s="299">
        <v>0.1</v>
      </c>
      <c r="I102" s="299">
        <v>0.1</v>
      </c>
      <c r="J102" s="299">
        <v>0.1</v>
      </c>
      <c r="K102" s="277"/>
      <c r="L102" s="261"/>
      <c r="M102" s="261"/>
      <c r="N102" s="261"/>
      <c r="O102" s="261"/>
      <c r="P102" s="261"/>
      <c r="Q102" s="277"/>
      <c r="R102" s="277"/>
      <c r="S102" s="277"/>
      <c r="T102" s="277"/>
      <c r="U102" s="277"/>
      <c r="V102" s="277"/>
      <c r="W102" s="277"/>
      <c r="X102" s="277"/>
      <c r="Y102" s="277"/>
      <c r="Z102" s="255"/>
      <c r="AA102" s="255"/>
      <c r="AB102" s="255"/>
      <c r="AC102" s="255"/>
      <c r="BA102" s="277"/>
      <c r="BB102" s="277"/>
      <c r="BC102" s="277"/>
      <c r="BD102" s="277"/>
      <c r="BE102" s="277"/>
      <c r="BF102" s="277"/>
      <c r="BG102" s="277"/>
      <c r="BH102" s="277"/>
      <c r="BI102" s="277"/>
      <c r="BJ102" s="277"/>
      <c r="BK102" s="277"/>
      <c r="BL102" s="277"/>
      <c r="BM102" s="277"/>
      <c r="BN102" s="277"/>
      <c r="BO102" s="277"/>
      <c r="BP102" s="277"/>
      <c r="BQ102" s="277"/>
      <c r="BR102" s="277"/>
      <c r="BS102" s="277"/>
      <c r="BT102" s="277"/>
      <c r="BU102" s="277"/>
      <c r="BV102" s="277"/>
      <c r="BW102" s="277"/>
      <c r="BX102" s="277"/>
      <c r="BY102" s="277"/>
      <c r="BZ102" s="277"/>
      <c r="CA102" s="277"/>
      <c r="CB102" s="277"/>
      <c r="CC102" s="277"/>
      <c r="CD102" s="277"/>
      <c r="CE102" s="277"/>
      <c r="CF102" s="277"/>
      <c r="CG102" s="277"/>
      <c r="CH102" s="277"/>
      <c r="CI102" s="277"/>
      <c r="CJ102" s="277"/>
      <c r="CK102" s="277"/>
      <c r="CL102" s="277"/>
      <c r="CM102" s="277"/>
      <c r="CN102" s="277"/>
      <c r="CO102" s="277"/>
      <c r="CP102" s="277"/>
      <c r="CQ102" s="277"/>
      <c r="CR102" s="277"/>
      <c r="CS102" s="277"/>
      <c r="CT102" s="277"/>
      <c r="CU102" s="277"/>
      <c r="CV102" s="277"/>
      <c r="CW102" s="277"/>
      <c r="CX102" s="277"/>
      <c r="CY102" s="277"/>
      <c r="CZ102" s="277"/>
      <c r="DA102" s="277"/>
      <c r="DB102" s="277"/>
      <c r="DC102" s="277"/>
      <c r="DD102" s="277"/>
      <c r="DE102" s="277"/>
      <c r="DF102" s="277"/>
      <c r="DG102" s="277"/>
      <c r="DH102" s="277"/>
      <c r="DI102" s="277"/>
      <c r="DJ102" s="277"/>
      <c r="DK102" s="277"/>
    </row>
    <row r="103" spans="2:115">
      <c r="H103" s="63"/>
      <c r="I103" s="277"/>
      <c r="J103" s="277"/>
      <c r="K103" s="277"/>
      <c r="L103" s="261"/>
      <c r="M103" s="261"/>
      <c r="N103" s="261"/>
      <c r="O103" s="261"/>
      <c r="P103" s="261"/>
      <c r="Q103" s="277"/>
      <c r="R103" s="277"/>
      <c r="S103" s="277"/>
      <c r="T103" s="277"/>
      <c r="U103" s="277"/>
      <c r="V103" s="277"/>
      <c r="W103" s="277"/>
      <c r="X103" s="277"/>
      <c r="Y103" s="277"/>
      <c r="Z103" s="255"/>
      <c r="AA103" s="255"/>
      <c r="AB103" s="255"/>
      <c r="AC103" s="255"/>
      <c r="BA103" s="277"/>
      <c r="BB103" s="277"/>
      <c r="BC103" s="277"/>
      <c r="BD103" s="277"/>
      <c r="BE103" s="277"/>
      <c r="BF103" s="277"/>
      <c r="BG103" s="277"/>
      <c r="BH103" s="277"/>
      <c r="BI103" s="277"/>
      <c r="BJ103" s="277"/>
      <c r="BK103" s="277"/>
      <c r="BL103" s="277"/>
      <c r="BM103" s="277"/>
      <c r="BN103" s="277"/>
      <c r="BO103" s="277"/>
      <c r="BP103" s="277"/>
      <c r="BQ103" s="277"/>
      <c r="BR103" s="277"/>
      <c r="BS103" s="277"/>
      <c r="BT103" s="277"/>
      <c r="BU103" s="277"/>
      <c r="BV103" s="277"/>
      <c r="BW103" s="277"/>
      <c r="BX103" s="277"/>
      <c r="BY103" s="277"/>
      <c r="BZ103" s="277"/>
      <c r="CA103" s="277"/>
      <c r="CB103" s="277"/>
      <c r="CC103" s="277"/>
      <c r="CD103" s="277"/>
      <c r="CE103" s="277"/>
      <c r="CF103" s="277"/>
      <c r="CG103" s="277"/>
      <c r="CH103" s="277"/>
      <c r="CI103" s="277"/>
      <c r="CJ103" s="277"/>
      <c r="CK103" s="277"/>
      <c r="CL103" s="277"/>
      <c r="CM103" s="277"/>
      <c r="CN103" s="277"/>
      <c r="CO103" s="277"/>
      <c r="CP103" s="277"/>
      <c r="CQ103" s="277"/>
      <c r="CR103" s="277"/>
      <c r="CS103" s="277"/>
      <c r="CT103" s="277"/>
      <c r="CU103" s="277"/>
      <c r="CV103" s="277"/>
      <c r="CW103" s="277"/>
      <c r="CX103" s="277"/>
      <c r="CY103" s="277"/>
      <c r="CZ103" s="277"/>
      <c r="DA103" s="277"/>
      <c r="DB103" s="277"/>
      <c r="DC103" s="277"/>
      <c r="DD103" s="277"/>
      <c r="DE103" s="277"/>
      <c r="DF103" s="277"/>
      <c r="DG103" s="277"/>
      <c r="DH103" s="277"/>
      <c r="DI103" s="277"/>
      <c r="DJ103" s="277"/>
      <c r="DK103" s="277"/>
    </row>
    <row r="104" spans="2:115">
      <c r="L104" s="261"/>
      <c r="M104" s="261"/>
      <c r="N104" s="261"/>
      <c r="O104" s="261"/>
      <c r="P104" s="261"/>
    </row>
    <row r="105" spans="2:115">
      <c r="L105" s="261"/>
      <c r="M105" s="261"/>
      <c r="N105" s="261"/>
      <c r="O105" s="261"/>
      <c r="P105" s="261"/>
    </row>
    <row r="106" spans="2:115">
      <c r="L106" s="261"/>
      <c r="M106" s="261"/>
      <c r="N106" s="261"/>
      <c r="O106" s="261"/>
      <c r="P106" s="261"/>
    </row>
    <row r="107" spans="2:115">
      <c r="C107" s="343"/>
      <c r="H107" s="63"/>
      <c r="J107" s="283"/>
      <c r="K107" s="282"/>
      <c r="L107" s="261"/>
      <c r="M107" s="261"/>
      <c r="N107" s="261"/>
      <c r="O107" s="261"/>
      <c r="P107" s="261"/>
    </row>
    <row r="108" spans="2:115">
      <c r="J108" s="283"/>
      <c r="K108" s="282"/>
      <c r="L108" s="261"/>
      <c r="M108" s="261"/>
      <c r="N108" s="261"/>
      <c r="O108" s="261"/>
      <c r="P108" s="261"/>
    </row>
    <row r="109" spans="2:115">
      <c r="L109" s="261"/>
      <c r="M109" s="261"/>
      <c r="N109" s="261"/>
      <c r="O109" s="261"/>
      <c r="P109" s="261"/>
    </row>
    <row r="110" spans="2:115">
      <c r="L110" s="261"/>
      <c r="M110" s="261"/>
      <c r="N110" s="261"/>
      <c r="O110" s="261"/>
      <c r="P110" s="261"/>
    </row>
    <row r="111" spans="2:115">
      <c r="H111" s="63"/>
      <c r="L111" s="261"/>
      <c r="M111" s="261"/>
      <c r="N111" s="261"/>
      <c r="O111" s="261"/>
      <c r="P111" s="261"/>
    </row>
    <row r="112" spans="2:115">
      <c r="H112" s="63"/>
      <c r="L112" s="261"/>
      <c r="M112" s="261"/>
      <c r="N112" s="261"/>
      <c r="O112" s="261"/>
      <c r="P112" s="261"/>
    </row>
    <row r="113" spans="8:16">
      <c r="H113" s="63"/>
      <c r="L113" s="261"/>
      <c r="M113" s="261"/>
      <c r="N113" s="261"/>
      <c r="O113" s="261"/>
      <c r="P113" s="261"/>
    </row>
    <row r="114" spans="8:16">
      <c r="L114" s="261"/>
      <c r="M114" s="261"/>
      <c r="N114" s="261"/>
      <c r="O114" s="261"/>
      <c r="P114" s="261"/>
    </row>
  </sheetData>
  <mergeCells count="63">
    <mergeCell ref="AD60:AD62"/>
    <mergeCell ref="AD63:AD65"/>
    <mergeCell ref="AD31:AD33"/>
    <mergeCell ref="AD34:AD36"/>
    <mergeCell ref="AD37:AD39"/>
    <mergeCell ref="AD54:AD56"/>
    <mergeCell ref="AD57:AD59"/>
    <mergeCell ref="AY8:AY11"/>
    <mergeCell ref="L54:L56"/>
    <mergeCell ref="U31:U33"/>
    <mergeCell ref="U34:U36"/>
    <mergeCell ref="U37:U39"/>
    <mergeCell ref="L34:L36"/>
    <mergeCell ref="U8:U11"/>
    <mergeCell ref="AX8:AX11"/>
    <mergeCell ref="L37:L39"/>
    <mergeCell ref="AV34:AV36"/>
    <mergeCell ref="AV37:AV39"/>
    <mergeCell ref="AV25:AV27"/>
    <mergeCell ref="AV28:AV30"/>
    <mergeCell ref="L12:L15"/>
    <mergeCell ref="L21:L23"/>
    <mergeCell ref="L25:L27"/>
    <mergeCell ref="L28:L30"/>
    <mergeCell ref="L31:L33"/>
    <mergeCell ref="AV57:AV59"/>
    <mergeCell ref="AV60:AV65"/>
    <mergeCell ref="AW60:AW65"/>
    <mergeCell ref="U28:U30"/>
    <mergeCell ref="AV54:AV56"/>
    <mergeCell ref="AV31:AV33"/>
    <mergeCell ref="L63:L65"/>
    <mergeCell ref="U54:U56"/>
    <mergeCell ref="U57:U59"/>
    <mergeCell ref="U60:U62"/>
    <mergeCell ref="U63:U65"/>
    <mergeCell ref="L57:L59"/>
    <mergeCell ref="L60:L62"/>
    <mergeCell ref="AD28:AD30"/>
    <mergeCell ref="AW8:AW11"/>
    <mergeCell ref="L8:L11"/>
    <mergeCell ref="U12:U15"/>
    <mergeCell ref="U21:U23"/>
    <mergeCell ref="U25:U27"/>
    <mergeCell ref="AV8:AV11"/>
    <mergeCell ref="AV12:AV15"/>
    <mergeCell ref="AV21:AV23"/>
    <mergeCell ref="AD8:AD11"/>
    <mergeCell ref="AD12:AD15"/>
    <mergeCell ref="AD21:AD23"/>
    <mergeCell ref="AD25:AD27"/>
    <mergeCell ref="AM8:AM11"/>
    <mergeCell ref="AM12:AM15"/>
    <mergeCell ref="AM21:AM23"/>
    <mergeCell ref="AM25:AM27"/>
    <mergeCell ref="AM57:AM59"/>
    <mergeCell ref="AM60:AM62"/>
    <mergeCell ref="AM63:AM65"/>
    <mergeCell ref="AM28:AM30"/>
    <mergeCell ref="AM31:AM33"/>
    <mergeCell ref="AM34:AM36"/>
    <mergeCell ref="AM37:AM39"/>
    <mergeCell ref="AM54:AM56"/>
  </mergeCells>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sheetPr codeName="Sheet20">
    <tabColor theme="9"/>
  </sheetPr>
  <dimension ref="A1:V177"/>
  <sheetViews>
    <sheetView showGridLines="0" zoomScale="70" zoomScaleNormal="70" workbookViewId="0">
      <selection activeCell="F33" sqref="F33:F92"/>
    </sheetView>
  </sheetViews>
  <sheetFormatPr defaultColWidth="9.140625" defaultRowHeight="12.75"/>
  <cols>
    <col min="1" max="3" width="9.140625" style="277"/>
    <col min="4" max="4" width="33.28515625" style="277" customWidth="1"/>
    <col min="5" max="5" width="12" style="277" customWidth="1"/>
    <col min="6" max="6" width="12.42578125" style="277" customWidth="1"/>
    <col min="7" max="10" width="9.140625" style="277"/>
    <col min="11" max="11" width="9.28515625" style="277" customWidth="1"/>
    <col min="12" max="12" width="10.28515625" style="277" bestFit="1" customWidth="1"/>
    <col min="13" max="13" width="10.28515625" style="277" customWidth="1"/>
    <col min="14" max="14" width="9.42578125" style="277" bestFit="1" customWidth="1"/>
    <col min="15" max="15" width="10.5703125" style="277" bestFit="1" customWidth="1"/>
    <col min="16" max="16" width="9.140625" style="277"/>
    <col min="17" max="21" width="7" style="277" customWidth="1"/>
    <col min="22" max="22" width="50.7109375" style="278" customWidth="1"/>
    <col min="23" max="16384" width="9.140625" style="277"/>
  </cols>
  <sheetData>
    <row r="1" spans="1:22">
      <c r="A1" s="277" t="s">
        <v>37</v>
      </c>
    </row>
    <row r="2" spans="1:22">
      <c r="B2" s="277" t="s">
        <v>0</v>
      </c>
      <c r="D2" s="257" t="str">
        <f ca="1">MID(CELL("filename",A1),FIND("]",CELL("filename",A1))+1,256)</f>
        <v>Sensitivities</v>
      </c>
      <c r="V2" s="277"/>
    </row>
    <row r="3" spans="1:22">
      <c r="B3" s="277" t="s">
        <v>1</v>
      </c>
      <c r="D3" s="277" t="s">
        <v>558</v>
      </c>
      <c r="V3" s="277"/>
    </row>
    <row r="5" spans="1:22" s="259" customFormat="1">
      <c r="B5" s="259" t="s">
        <v>442</v>
      </c>
      <c r="D5" s="259" t="s">
        <v>19</v>
      </c>
      <c r="E5" s="259" t="s">
        <v>20</v>
      </c>
      <c r="F5" s="259" t="s">
        <v>499</v>
      </c>
      <c r="G5" s="259" t="s">
        <v>500</v>
      </c>
      <c r="O5" s="260"/>
      <c r="V5" s="260"/>
    </row>
    <row r="6" spans="1:22">
      <c r="G6" s="289"/>
      <c r="H6" s="289"/>
      <c r="I6" s="289"/>
      <c r="J6" s="289"/>
      <c r="K6" s="289"/>
      <c r="L6" s="289"/>
      <c r="M6" s="289"/>
      <c r="N6" s="289"/>
      <c r="O6" s="289"/>
      <c r="P6" s="289"/>
      <c r="Q6" s="289"/>
      <c r="R6" s="289"/>
      <c r="S6" s="289"/>
      <c r="T6" s="289"/>
      <c r="U6" s="289"/>
      <c r="V6" s="288"/>
    </row>
    <row r="7" spans="1:22" hidden="1">
      <c r="D7" s="257"/>
      <c r="F7" s="374"/>
      <c r="G7" s="289"/>
      <c r="H7" s="289"/>
      <c r="I7" s="289"/>
      <c r="J7" s="289"/>
      <c r="K7" s="289"/>
      <c r="L7" s="289"/>
      <c r="M7" s="289"/>
      <c r="N7" s="289"/>
      <c r="O7" s="289"/>
      <c r="P7" s="289"/>
      <c r="Q7" s="289"/>
      <c r="R7" s="289"/>
      <c r="S7" s="289"/>
      <c r="T7" s="289"/>
      <c r="U7" s="289"/>
      <c r="V7" s="288"/>
    </row>
    <row r="8" spans="1:22" hidden="1">
      <c r="B8" s="257"/>
      <c r="F8" s="375"/>
    </row>
    <row r="9" spans="1:22" hidden="1">
      <c r="C9" s="257"/>
      <c r="F9" s="376"/>
    </row>
    <row r="10" spans="1:22" hidden="1">
      <c r="C10" s="257"/>
      <c r="F10" s="376"/>
    </row>
    <row r="11" spans="1:22" hidden="1">
      <c r="C11" s="257"/>
      <c r="F11" s="374"/>
    </row>
    <row r="12" spans="1:22" hidden="1">
      <c r="C12" s="257"/>
      <c r="F12" s="374"/>
      <c r="G12" s="345"/>
      <c r="H12" s="232"/>
      <c r="I12" s="232"/>
      <c r="J12" s="261"/>
      <c r="K12" s="261"/>
      <c r="L12" s="261"/>
      <c r="M12" s="261"/>
      <c r="N12" s="261"/>
      <c r="O12" s="261"/>
      <c r="P12" s="261"/>
      <c r="Q12" s="261"/>
      <c r="R12" s="261"/>
      <c r="S12" s="261"/>
      <c r="T12" s="261"/>
    </row>
    <row r="13" spans="1:22" hidden="1">
      <c r="C13" s="257"/>
      <c r="F13" s="375"/>
      <c r="G13" s="322"/>
      <c r="H13" s="261"/>
      <c r="I13" s="261"/>
      <c r="J13" s="261"/>
      <c r="K13" s="261"/>
      <c r="L13" s="261"/>
      <c r="M13" s="261"/>
      <c r="N13" s="261"/>
      <c r="O13" s="261"/>
      <c r="P13" s="261"/>
      <c r="Q13" s="261"/>
      <c r="R13" s="261"/>
      <c r="S13" s="261"/>
      <c r="T13" s="261"/>
    </row>
    <row r="14" spans="1:22" hidden="1">
      <c r="C14" s="257"/>
      <c r="D14" s="257"/>
      <c r="F14" s="375"/>
      <c r="G14" s="322"/>
      <c r="H14" s="261"/>
      <c r="I14" s="261"/>
      <c r="J14" s="261"/>
      <c r="K14" s="261"/>
      <c r="L14" s="261"/>
      <c r="M14" s="261"/>
      <c r="N14" s="261"/>
      <c r="O14" s="261"/>
      <c r="P14" s="261"/>
      <c r="Q14" s="261"/>
      <c r="R14" s="261"/>
      <c r="S14" s="261"/>
      <c r="T14" s="261"/>
    </row>
    <row r="15" spans="1:22" hidden="1">
      <c r="F15" s="377"/>
      <c r="G15" s="322"/>
      <c r="H15" s="261"/>
      <c r="I15" s="261"/>
      <c r="J15" s="261"/>
      <c r="K15" s="261"/>
      <c r="L15" s="261"/>
      <c r="M15" s="261"/>
      <c r="N15" s="261"/>
      <c r="O15" s="261"/>
      <c r="P15" s="261"/>
      <c r="Q15" s="261"/>
      <c r="R15" s="261"/>
      <c r="S15" s="261"/>
      <c r="T15" s="261"/>
    </row>
    <row r="16" spans="1:22" hidden="1">
      <c r="C16" s="257"/>
      <c r="F16" s="378"/>
      <c r="G16" s="261"/>
      <c r="H16" s="261"/>
      <c r="I16" s="261"/>
      <c r="J16" s="261"/>
      <c r="K16" s="261"/>
      <c r="L16" s="261"/>
      <c r="M16" s="261"/>
      <c r="N16" s="261"/>
      <c r="O16" s="261"/>
      <c r="P16" s="261"/>
      <c r="Q16" s="261"/>
      <c r="R16" s="261"/>
      <c r="S16" s="261"/>
      <c r="T16" s="261"/>
    </row>
    <row r="17" spans="1:22" hidden="1">
      <c r="C17" s="257"/>
      <c r="F17" s="379"/>
      <c r="G17" s="261"/>
      <c r="H17" s="261"/>
      <c r="I17" s="261"/>
      <c r="J17" s="261"/>
      <c r="K17" s="261"/>
      <c r="L17" s="261"/>
      <c r="M17" s="261"/>
      <c r="N17" s="261"/>
      <c r="O17" s="261"/>
      <c r="P17" s="261"/>
      <c r="Q17" s="261"/>
      <c r="R17" s="261"/>
      <c r="S17" s="261"/>
      <c r="T17" s="261"/>
    </row>
    <row r="18" spans="1:22" hidden="1">
      <c r="C18" s="257"/>
      <c r="F18" s="376"/>
      <c r="G18" s="261"/>
      <c r="H18" s="261"/>
      <c r="I18" s="261"/>
      <c r="J18" s="261"/>
      <c r="K18" s="261"/>
      <c r="L18" s="261"/>
      <c r="M18" s="261"/>
      <c r="N18" s="261"/>
      <c r="O18" s="261"/>
      <c r="P18" s="261"/>
      <c r="Q18" s="261"/>
      <c r="R18" s="261"/>
      <c r="S18" s="261"/>
      <c r="T18" s="261"/>
    </row>
    <row r="19" spans="1:22" s="265" customFormat="1" hidden="1">
      <c r="C19" s="198"/>
      <c r="D19" s="277"/>
      <c r="E19" s="277"/>
      <c r="F19" s="376"/>
      <c r="G19" s="264"/>
      <c r="H19" s="264"/>
      <c r="I19" s="264"/>
      <c r="J19" s="264"/>
      <c r="K19" s="264"/>
      <c r="L19" s="264"/>
      <c r="M19" s="264"/>
      <c r="N19" s="264"/>
      <c r="O19" s="264"/>
      <c r="P19" s="264"/>
      <c r="Q19" s="264"/>
      <c r="R19" s="264"/>
      <c r="S19" s="264"/>
      <c r="T19" s="264"/>
      <c r="U19" s="277"/>
      <c r="V19" s="278"/>
    </row>
    <row r="20" spans="1:22" hidden="1">
      <c r="A20" s="287"/>
      <c r="B20" s="287"/>
      <c r="F20" s="374"/>
      <c r="H20" s="266"/>
      <c r="I20" s="266"/>
      <c r="J20" s="266"/>
      <c r="K20" s="266"/>
      <c r="L20" s="266"/>
      <c r="M20" s="266"/>
      <c r="N20" s="266"/>
      <c r="O20" s="266"/>
      <c r="P20" s="266"/>
      <c r="Q20" s="266"/>
      <c r="R20" s="266"/>
      <c r="S20" s="266"/>
      <c r="T20" s="266"/>
    </row>
    <row r="21" spans="1:22" hidden="1">
      <c r="A21" s="287"/>
      <c r="B21" s="287"/>
      <c r="G21" s="345"/>
      <c r="I21" s="267"/>
      <c r="J21" s="267"/>
      <c r="K21" s="267"/>
      <c r="L21" s="267"/>
      <c r="M21" s="267"/>
      <c r="N21" s="267"/>
      <c r="O21" s="267"/>
      <c r="P21" s="267"/>
      <c r="Q21" s="267"/>
      <c r="R21" s="267"/>
      <c r="S21" s="267"/>
      <c r="T21" s="267"/>
    </row>
    <row r="22" spans="1:22" hidden="1">
      <c r="A22" s="287"/>
      <c r="B22" s="287"/>
      <c r="G22" s="267"/>
      <c r="H22" s="267"/>
      <c r="I22" s="268"/>
      <c r="J22" s="268"/>
      <c r="K22" s="268"/>
      <c r="L22" s="268"/>
      <c r="M22" s="268"/>
      <c r="N22" s="268"/>
      <c r="O22" s="268"/>
      <c r="P22" s="268"/>
      <c r="Q22" s="268"/>
      <c r="R22" s="268"/>
      <c r="S22" s="268"/>
      <c r="T22" s="268"/>
    </row>
    <row r="23" spans="1:22" hidden="1">
      <c r="D23" s="257"/>
      <c r="G23" s="268"/>
      <c r="H23" s="268"/>
    </row>
    <row r="24" spans="1:22" hidden="1"/>
    <row r="25" spans="1:22" hidden="1"/>
    <row r="26" spans="1:22" hidden="1">
      <c r="F26" s="140"/>
      <c r="J26" s="282"/>
    </row>
    <row r="27" spans="1:22" hidden="1"/>
    <row r="28" spans="1:22" hidden="1"/>
    <row r="30" spans="1:22">
      <c r="C30" s="198" t="s">
        <v>248</v>
      </c>
    </row>
    <row r="31" spans="1:22">
      <c r="C31" s="277">
        <v>1</v>
      </c>
      <c r="D31" s="277" t="s">
        <v>510</v>
      </c>
    </row>
    <row r="32" spans="1:22">
      <c r="H32" s="277" t="s">
        <v>511</v>
      </c>
      <c r="I32" s="277" t="s">
        <v>512</v>
      </c>
      <c r="K32" s="277" t="s">
        <v>518</v>
      </c>
      <c r="L32" s="277" t="s">
        <v>519</v>
      </c>
      <c r="N32" s="277" t="s">
        <v>531</v>
      </c>
      <c r="O32" s="277" t="s">
        <v>532</v>
      </c>
      <c r="Q32" s="277" t="s">
        <v>514</v>
      </c>
      <c r="R32" s="277" t="s">
        <v>516</v>
      </c>
      <c r="T32" s="277" t="s">
        <v>515</v>
      </c>
      <c r="U32" s="277" t="s">
        <v>517</v>
      </c>
    </row>
    <row r="33" spans="3:21">
      <c r="D33" s="277" t="s">
        <v>665</v>
      </c>
      <c r="E33" s="174">
        <f>'Independent Cost Inputs'!H16</f>
        <v>18</v>
      </c>
      <c r="F33" s="346">
        <v>18</v>
      </c>
      <c r="H33" s="334">
        <v>0.1</v>
      </c>
      <c r="I33" s="334">
        <v>-0.1</v>
      </c>
      <c r="K33" s="292">
        <f>(1+H33)*$F33</f>
        <v>19.8</v>
      </c>
      <c r="L33" s="292">
        <f>(1+I33)*$F33</f>
        <v>16.2</v>
      </c>
      <c r="M33" s="292"/>
      <c r="N33" s="179">
        <f>'NPV Model'!G41/1000000</f>
        <v>56.769272899312313</v>
      </c>
      <c r="O33" s="179">
        <f>'NPV Model'!G100/1000000</f>
        <v>80.802384721910357</v>
      </c>
      <c r="Q33" s="443">
        <v>61.671379454990806</v>
      </c>
      <c r="R33" s="443">
        <v>89.806714736795357</v>
      </c>
      <c r="T33" s="443">
        <v>51.867166343633784</v>
      </c>
      <c r="U33" s="443">
        <v>71.798054707025315</v>
      </c>
    </row>
    <row r="34" spans="3:21">
      <c r="D34" s="277" t="s">
        <v>666</v>
      </c>
      <c r="E34" s="174">
        <f>'Independent Cost Inputs'!H17</f>
        <v>0</v>
      </c>
      <c r="F34" s="346">
        <v>0</v>
      </c>
      <c r="H34" s="282">
        <f>H33</f>
        <v>0.1</v>
      </c>
      <c r="I34" s="282">
        <f>I33</f>
        <v>-0.1</v>
      </c>
      <c r="K34" s="292">
        <f>(1+H34)*$F34</f>
        <v>0</v>
      </c>
      <c r="L34" s="292">
        <f>(1+I34)*$F34</f>
        <v>0</v>
      </c>
      <c r="M34" s="292"/>
      <c r="N34" s="179"/>
      <c r="O34" s="340"/>
      <c r="R34" s="340"/>
      <c r="U34" s="340"/>
    </row>
    <row r="35" spans="3:21">
      <c r="K35" s="292"/>
      <c r="L35" s="292"/>
      <c r="M35" s="292"/>
      <c r="O35" s="340"/>
      <c r="R35" s="340"/>
      <c r="U35" s="340"/>
    </row>
    <row r="36" spans="3:21">
      <c r="K36" s="292"/>
      <c r="L36" s="292"/>
      <c r="M36" s="292"/>
      <c r="O36" s="340"/>
      <c r="R36" s="340"/>
      <c r="U36" s="340"/>
    </row>
    <row r="37" spans="3:21">
      <c r="D37" s="277" t="s">
        <v>667</v>
      </c>
      <c r="E37" s="174">
        <f>'Independent Cost Inputs'!Q16</f>
        <v>20</v>
      </c>
      <c r="F37" s="346">
        <v>20</v>
      </c>
      <c r="H37" s="283">
        <f>H$33</f>
        <v>0.1</v>
      </c>
      <c r="I37" s="283">
        <f>I$33</f>
        <v>-0.1</v>
      </c>
      <c r="K37" s="292">
        <f t="shared" ref="K37:K53" si="0">(1+H37)*$F37</f>
        <v>22</v>
      </c>
      <c r="L37" s="292">
        <f t="shared" ref="L37:L53" si="1">(1+I37)*$F37</f>
        <v>18</v>
      </c>
      <c r="M37" s="292"/>
      <c r="N37" s="179">
        <f>'NPV Model'!G47/1000000</f>
        <v>81.40901290216479</v>
      </c>
      <c r="O37" s="179">
        <f>'NPV Model'!G106/1000000</f>
        <v>128.09234959091251</v>
      </c>
      <c r="Q37" s="443">
        <v>87.195234620546799</v>
      </c>
      <c r="R37" s="443">
        <v>138.7206477112897</v>
      </c>
      <c r="T37" s="443">
        <v>75.622791183782766</v>
      </c>
      <c r="U37" s="443">
        <v>117.46405147053531</v>
      </c>
    </row>
    <row r="38" spans="3:21">
      <c r="D38" s="277" t="s">
        <v>668</v>
      </c>
      <c r="E38" s="174">
        <f>'Independent Cost Inputs'!Q17</f>
        <v>0</v>
      </c>
      <c r="F38" s="346">
        <v>0</v>
      </c>
      <c r="H38" s="283">
        <f>H$33</f>
        <v>0.1</v>
      </c>
      <c r="I38" s="283">
        <f>I$33</f>
        <v>-0.1</v>
      </c>
      <c r="K38" s="292">
        <f t="shared" si="0"/>
        <v>0</v>
      </c>
      <c r="L38" s="292">
        <f t="shared" si="1"/>
        <v>0</v>
      </c>
      <c r="M38" s="292"/>
      <c r="O38" s="340"/>
      <c r="R38" s="340"/>
      <c r="U38" s="340"/>
    </row>
    <row r="39" spans="3:21">
      <c r="K39" s="292">
        <f t="shared" si="0"/>
        <v>0</v>
      </c>
      <c r="L39" s="292">
        <f t="shared" si="1"/>
        <v>0</v>
      </c>
      <c r="M39" s="292"/>
      <c r="O39" s="340"/>
      <c r="R39" s="340"/>
      <c r="U39" s="340"/>
    </row>
    <row r="40" spans="3:21">
      <c r="K40" s="292"/>
      <c r="L40" s="292"/>
      <c r="M40" s="292"/>
      <c r="O40" s="340"/>
      <c r="R40" s="340"/>
      <c r="U40" s="340"/>
    </row>
    <row r="41" spans="3:21">
      <c r="D41" s="277" t="s">
        <v>669</v>
      </c>
      <c r="E41" s="174">
        <f>'Independent Cost Inputs'!AR16</f>
        <v>12</v>
      </c>
      <c r="F41" s="346">
        <v>12</v>
      </c>
      <c r="H41" s="283">
        <f>H$33</f>
        <v>0.1</v>
      </c>
      <c r="I41" s="283">
        <f>I$33</f>
        <v>-0.1</v>
      </c>
      <c r="K41" s="292">
        <f t="shared" si="0"/>
        <v>13.200000000000001</v>
      </c>
      <c r="L41" s="292">
        <f t="shared" si="1"/>
        <v>10.8</v>
      </c>
      <c r="M41" s="292"/>
      <c r="N41" s="179">
        <f>'NPV Model'!G65/1000000</f>
        <v>43.471578982484466</v>
      </c>
      <c r="O41" s="179">
        <f>'NPV Model'!G124/1000000</f>
        <v>65.201785153030812</v>
      </c>
      <c r="Q41" s="443">
        <v>49.190703297442731</v>
      </c>
      <c r="R41" s="443">
        <v>75.706836837063349</v>
      </c>
      <c r="T41" s="443">
        <v>37.752454667526209</v>
      </c>
      <c r="U41" s="443">
        <v>54.696733468998296</v>
      </c>
    </row>
    <row r="42" spans="3:21">
      <c r="D42" s="277" t="s">
        <v>670</v>
      </c>
      <c r="E42" s="174">
        <f>'Independent Cost Inputs'!AR17</f>
        <v>9</v>
      </c>
      <c r="F42" s="346">
        <v>9</v>
      </c>
      <c r="H42" s="283">
        <f>H$33</f>
        <v>0.1</v>
      </c>
      <c r="I42" s="283">
        <f>I$33</f>
        <v>-0.1</v>
      </c>
      <c r="K42" s="292">
        <f t="shared" si="0"/>
        <v>9.9</v>
      </c>
      <c r="L42" s="292">
        <f t="shared" si="1"/>
        <v>8.1</v>
      </c>
      <c r="M42" s="292"/>
      <c r="N42" s="179"/>
      <c r="O42" s="179"/>
    </row>
    <row r="43" spans="3:21">
      <c r="K43" s="292"/>
      <c r="L43" s="292"/>
      <c r="M43" s="292"/>
      <c r="N43" s="179"/>
      <c r="O43" s="179"/>
    </row>
    <row r="44" spans="3:21">
      <c r="C44" s="277">
        <v>2</v>
      </c>
      <c r="D44" s="277" t="s">
        <v>513</v>
      </c>
      <c r="K44" s="292"/>
      <c r="L44" s="292"/>
      <c r="M44" s="292"/>
      <c r="N44" s="179" t="s">
        <v>531</v>
      </c>
      <c r="O44" s="179" t="s">
        <v>532</v>
      </c>
      <c r="Q44" s="277" t="s">
        <v>514</v>
      </c>
      <c r="R44" s="277" t="s">
        <v>516</v>
      </c>
      <c r="T44" s="277" t="s">
        <v>515</v>
      </c>
      <c r="U44" s="277" t="s">
        <v>517</v>
      </c>
    </row>
    <row r="45" spans="3:21">
      <c r="K45" s="292"/>
      <c r="L45" s="292"/>
      <c r="M45" s="292"/>
      <c r="N45" s="179"/>
      <c r="O45" s="179"/>
    </row>
    <row r="46" spans="3:21">
      <c r="D46" s="277" t="s">
        <v>15</v>
      </c>
      <c r="E46" s="380">
        <f>'Independent Cost Inputs'!$I$72</f>
        <v>0.2</v>
      </c>
      <c r="F46" s="334">
        <v>0.2</v>
      </c>
      <c r="H46" s="334">
        <v>0.1</v>
      </c>
      <c r="I46" s="334">
        <v>-0.1</v>
      </c>
      <c r="K46" s="292">
        <f t="shared" si="0"/>
        <v>0.22000000000000003</v>
      </c>
      <c r="L46" s="292">
        <f t="shared" si="1"/>
        <v>0.18000000000000002</v>
      </c>
      <c r="M46" s="292"/>
      <c r="N46" s="179">
        <f>N33</f>
        <v>56.769272899312313</v>
      </c>
      <c r="O46" s="179">
        <f>O33</f>
        <v>80.802384721910357</v>
      </c>
      <c r="Q46" s="443">
        <v>58.307210182008397</v>
      </c>
      <c r="R46" s="443">
        <v>83.627312062494127</v>
      </c>
      <c r="T46" s="443">
        <v>55.231335616616221</v>
      </c>
      <c r="U46" s="443">
        <v>77.977457381326602</v>
      </c>
    </row>
    <row r="47" spans="3:21">
      <c r="D47" s="277" t="s">
        <v>16</v>
      </c>
      <c r="E47" s="380">
        <f>'Independent Cost Inputs'!$I$72</f>
        <v>0.2</v>
      </c>
      <c r="F47" s="334">
        <v>0.2</v>
      </c>
      <c r="H47" s="283">
        <f>H46</f>
        <v>0.1</v>
      </c>
      <c r="I47" s="283">
        <f>I46</f>
        <v>-0.1</v>
      </c>
      <c r="K47" s="292">
        <f t="shared" si="0"/>
        <v>0.22000000000000003</v>
      </c>
      <c r="L47" s="292">
        <f t="shared" si="1"/>
        <v>0.18000000000000002</v>
      </c>
      <c r="M47" s="292"/>
      <c r="N47" s="179">
        <f>N37</f>
        <v>81.40901290216479</v>
      </c>
      <c r="O47" s="179">
        <f>O37</f>
        <v>128.09234959091251</v>
      </c>
      <c r="Q47" s="443">
        <v>82.861471734162535</v>
      </c>
      <c r="R47" s="443">
        <v>130.76026765997048</v>
      </c>
      <c r="T47" s="443">
        <v>79.956554070167044</v>
      </c>
      <c r="U47" s="443">
        <v>125.42443152185456</v>
      </c>
    </row>
    <row r="48" spans="3:21">
      <c r="D48" s="277" t="s">
        <v>17</v>
      </c>
      <c r="E48" s="380">
        <f>'Independent Cost Inputs'!$I$72</f>
        <v>0.2</v>
      </c>
      <c r="F48" s="334">
        <v>0.2</v>
      </c>
      <c r="H48" s="283">
        <f>H46</f>
        <v>0.1</v>
      </c>
      <c r="I48" s="283">
        <f>I46</f>
        <v>-0.1</v>
      </c>
      <c r="K48" s="292">
        <f t="shared" si="0"/>
        <v>0.22000000000000003</v>
      </c>
      <c r="L48" s="292">
        <f t="shared" si="1"/>
        <v>0.18000000000000002</v>
      </c>
      <c r="M48" s="292"/>
      <c r="N48" s="179">
        <f>N41</f>
        <v>43.471578982484466</v>
      </c>
      <c r="O48" s="179">
        <f>O41</f>
        <v>65.201785153030812</v>
      </c>
      <c r="Q48" s="443">
        <v>44.054519521917982</v>
      </c>
      <c r="R48" s="443">
        <v>66.272547066607359</v>
      </c>
      <c r="T48" s="443">
        <v>42.888638443050972</v>
      </c>
      <c r="U48" s="443">
        <v>64.131023239454294</v>
      </c>
    </row>
    <row r="49" spans="3:21">
      <c r="K49" s="292"/>
      <c r="L49" s="292"/>
      <c r="M49" s="292"/>
      <c r="N49" s="179"/>
      <c r="O49" s="179"/>
    </row>
    <row r="50" spans="3:21">
      <c r="C50" s="277">
        <v>3</v>
      </c>
      <c r="D50" s="277" t="s">
        <v>520</v>
      </c>
      <c r="K50" s="292"/>
      <c r="L50" s="292"/>
      <c r="M50" s="292"/>
      <c r="N50" s="179" t="s">
        <v>531</v>
      </c>
      <c r="O50" s="179" t="s">
        <v>532</v>
      </c>
      <c r="Q50" s="277" t="s">
        <v>514</v>
      </c>
      <c r="R50" s="277" t="s">
        <v>516</v>
      </c>
      <c r="T50" s="277" t="s">
        <v>515</v>
      </c>
      <c r="U50" s="277" t="s">
        <v>517</v>
      </c>
    </row>
    <row r="51" spans="3:21">
      <c r="D51" s="277" t="s">
        <v>15</v>
      </c>
      <c r="E51" s="174">
        <f>'Independent Cost Inputs'!$I$73</f>
        <v>500</v>
      </c>
      <c r="F51" s="346">
        <v>500</v>
      </c>
      <c r="H51" s="334">
        <v>0.1</v>
      </c>
      <c r="I51" s="334">
        <v>-0.1</v>
      </c>
      <c r="K51" s="292">
        <f t="shared" si="0"/>
        <v>550</v>
      </c>
      <c r="L51" s="292">
        <f t="shared" si="1"/>
        <v>450</v>
      </c>
      <c r="M51" s="292"/>
      <c r="N51" s="179">
        <f>N46</f>
        <v>56.769272899312313</v>
      </c>
      <c r="O51" s="179">
        <f>O46</f>
        <v>80.802384721910357</v>
      </c>
      <c r="Q51" s="443">
        <v>57.862117412619853</v>
      </c>
      <c r="R51" s="443">
        <v>82.328367179228366</v>
      </c>
      <c r="T51" s="443">
        <v>55.676428386004766</v>
      </c>
      <c r="U51" s="443">
        <v>79.276402264592363</v>
      </c>
    </row>
    <row r="52" spans="3:21">
      <c r="D52" s="277" t="s">
        <v>16</v>
      </c>
      <c r="E52" s="174">
        <f>'Independent Cost Inputs'!$I$73</f>
        <v>500</v>
      </c>
      <c r="F52" s="346">
        <v>500</v>
      </c>
      <c r="H52" s="283">
        <f>H51</f>
        <v>0.1</v>
      </c>
      <c r="I52" s="283">
        <f>I51</f>
        <v>-0.1</v>
      </c>
      <c r="K52" s="292">
        <f t="shared" si="0"/>
        <v>550</v>
      </c>
      <c r="L52" s="292">
        <f t="shared" si="1"/>
        <v>450</v>
      </c>
      <c r="M52" s="292"/>
      <c r="N52" s="179">
        <f t="shared" ref="N52:O53" si="2">N47</f>
        <v>81.40901290216479</v>
      </c>
      <c r="O52" s="179">
        <f t="shared" si="2"/>
        <v>128.09234959091251</v>
      </c>
      <c r="Q52" s="443">
        <v>82.50185741547233</v>
      </c>
      <c r="R52" s="443">
        <v>129.61833204823049</v>
      </c>
      <c r="T52" s="443">
        <v>80.316168388857264</v>
      </c>
      <c r="U52" s="443">
        <v>126.56636713359451</v>
      </c>
    </row>
    <row r="53" spans="3:21">
      <c r="D53" s="277" t="s">
        <v>17</v>
      </c>
      <c r="E53" s="174">
        <f>'Independent Cost Inputs'!$I$73</f>
        <v>500</v>
      </c>
      <c r="F53" s="346">
        <v>500</v>
      </c>
      <c r="H53" s="283">
        <f>H51</f>
        <v>0.1</v>
      </c>
      <c r="I53" s="283">
        <f>I51</f>
        <v>-0.1</v>
      </c>
      <c r="K53" s="292">
        <f t="shared" si="0"/>
        <v>550</v>
      </c>
      <c r="L53" s="292">
        <f t="shared" si="1"/>
        <v>450</v>
      </c>
      <c r="M53" s="292"/>
      <c r="N53" s="179">
        <f t="shared" si="2"/>
        <v>43.471578982484466</v>
      </c>
      <c r="O53" s="179">
        <f t="shared" si="2"/>
        <v>65.201785153030812</v>
      </c>
      <c r="Q53" s="443">
        <v>43.653719734702399</v>
      </c>
      <c r="R53" s="443">
        <v>65.456115562583818</v>
      </c>
      <c r="T53" s="443">
        <v>43.289438230266541</v>
      </c>
      <c r="U53" s="443">
        <v>64.947454743477806</v>
      </c>
    </row>
    <row r="54" spans="3:21">
      <c r="N54" s="179"/>
      <c r="O54" s="179"/>
    </row>
    <row r="55" spans="3:21">
      <c r="C55" s="277">
        <v>4</v>
      </c>
      <c r="D55" s="277" t="s">
        <v>521</v>
      </c>
      <c r="N55" s="179" t="s">
        <v>531</v>
      </c>
      <c r="O55" s="179" t="s">
        <v>532</v>
      </c>
      <c r="Q55" s="277" t="s">
        <v>514</v>
      </c>
      <c r="R55" s="277" t="s">
        <v>516</v>
      </c>
      <c r="T55" s="277" t="s">
        <v>515</v>
      </c>
      <c r="U55" s="277" t="s">
        <v>517</v>
      </c>
    </row>
    <row r="56" spans="3:21">
      <c r="D56" s="277" t="s">
        <v>15</v>
      </c>
      <c r="E56" s="174">
        <f>'Independent Cost Inputs'!$I$78</f>
        <v>0.36</v>
      </c>
      <c r="F56" s="202">
        <v>0.36</v>
      </c>
      <c r="H56" s="334">
        <v>0.1</v>
      </c>
      <c r="I56" s="334">
        <v>-0.1</v>
      </c>
      <c r="K56" s="292">
        <f t="shared" ref="K56" si="3">(1+H56)*$F56</f>
        <v>0.39600000000000002</v>
      </c>
      <c r="L56" s="292">
        <f t="shared" ref="L56" si="4">(1+I56)*$F56</f>
        <v>0.32400000000000001</v>
      </c>
      <c r="M56" s="292"/>
      <c r="N56" s="179">
        <f>N51</f>
        <v>56.769272899312313</v>
      </c>
      <c r="O56" s="179">
        <f>O51</f>
        <v>80.802384721910357</v>
      </c>
      <c r="Q56" s="443">
        <v>57.727607610057404</v>
      </c>
      <c r="R56" s="443">
        <v>82.562681423391155</v>
      </c>
      <c r="T56" s="443">
        <v>57.727607610057404</v>
      </c>
      <c r="U56" s="443">
        <v>82.562681423391155</v>
      </c>
    </row>
    <row r="57" spans="3:21">
      <c r="D57" s="277" t="s">
        <v>16</v>
      </c>
      <c r="E57" s="174">
        <f>'Independent Cost Inputs'!$I$78</f>
        <v>0.36</v>
      </c>
      <c r="F57" s="202">
        <v>0.36</v>
      </c>
      <c r="H57" s="283">
        <f>H52</f>
        <v>0.1</v>
      </c>
      <c r="I57" s="283">
        <f>I52</f>
        <v>-0.1</v>
      </c>
      <c r="K57" s="292">
        <f t="shared" ref="K57:K58" si="5">(1+H57)*$F57</f>
        <v>0.39600000000000002</v>
      </c>
      <c r="L57" s="292">
        <f t="shared" ref="L57:L58" si="6">(1+I57)*$F57</f>
        <v>0.32400000000000001</v>
      </c>
      <c r="M57" s="292"/>
      <c r="N57" s="179">
        <f t="shared" ref="N57:O58" si="7">N52</f>
        <v>81.40901290216479</v>
      </c>
      <c r="O57" s="179">
        <f t="shared" si="7"/>
        <v>128.09234959091251</v>
      </c>
      <c r="Q57" s="443">
        <v>83.005691974323184</v>
      </c>
      <c r="R57" s="443">
        <v>131.02517553630543</v>
      </c>
      <c r="T57" s="443">
        <v>83.005691974323184</v>
      </c>
      <c r="U57" s="443">
        <v>131.02517553630543</v>
      </c>
    </row>
    <row r="58" spans="3:21">
      <c r="D58" s="277" t="s">
        <v>17</v>
      </c>
      <c r="E58" s="174">
        <f>'Independent Cost Inputs'!$I$78</f>
        <v>0.36</v>
      </c>
      <c r="F58" s="202">
        <v>0.36</v>
      </c>
      <c r="H58" s="283">
        <f>H53</f>
        <v>0.1</v>
      </c>
      <c r="I58" s="283">
        <f>I53</f>
        <v>-0.1</v>
      </c>
      <c r="K58" s="292">
        <f t="shared" si="5"/>
        <v>0.39600000000000002</v>
      </c>
      <c r="L58" s="292">
        <f t="shared" si="6"/>
        <v>0.32400000000000001</v>
      </c>
      <c r="M58" s="292"/>
      <c r="N58" s="179">
        <f t="shared" si="7"/>
        <v>43.471578982484466</v>
      </c>
      <c r="O58" s="179">
        <f t="shared" si="7"/>
        <v>65.201785153030812</v>
      </c>
      <c r="Q58" s="443">
        <v>45.246931452509322</v>
      </c>
      <c r="R58" s="443">
        <v>68.462803523659105</v>
      </c>
      <c r="T58" s="443">
        <v>45.246931452509322</v>
      </c>
      <c r="U58" s="443">
        <v>68.462803523659105</v>
      </c>
    </row>
    <row r="60" spans="3:21">
      <c r="C60" s="277">
        <v>5</v>
      </c>
      <c r="D60" s="277" t="s">
        <v>522</v>
      </c>
      <c r="N60" s="277" t="s">
        <v>531</v>
      </c>
      <c r="O60" s="277" t="s">
        <v>532</v>
      </c>
      <c r="Q60" s="277" t="s">
        <v>514</v>
      </c>
      <c r="R60" s="277" t="s">
        <v>516</v>
      </c>
      <c r="T60" s="277" t="s">
        <v>515</v>
      </c>
      <c r="U60" s="277" t="s">
        <v>517</v>
      </c>
    </row>
    <row r="61" spans="3:21">
      <c r="D61" s="277" t="s">
        <v>523</v>
      </c>
      <c r="E61" s="382">
        <f>'Independent Cost Inputs'!I92</f>
        <v>2.7</v>
      </c>
      <c r="F61" s="383">
        <v>2.7</v>
      </c>
      <c r="H61" s="334">
        <v>0.1</v>
      </c>
      <c r="I61" s="334">
        <v>-0.1</v>
      </c>
      <c r="K61" s="292">
        <f t="shared" ref="K61:K63" si="8">(1+H61)*$F61</f>
        <v>2.9700000000000006</v>
      </c>
      <c r="L61" s="292">
        <f t="shared" ref="L61:L63" si="9">(1+I61)*$F61</f>
        <v>2.4300000000000002</v>
      </c>
      <c r="M61" s="292"/>
    </row>
    <row r="62" spans="3:21">
      <c r="D62" s="277" t="s">
        <v>525</v>
      </c>
      <c r="E62" s="382">
        <f>'Independent Cost Inputs'!I93</f>
        <v>0.5</v>
      </c>
      <c r="F62" s="383">
        <v>0.5</v>
      </c>
      <c r="H62" s="283">
        <f>H57</f>
        <v>0.1</v>
      </c>
      <c r="I62" s="283">
        <f>I57</f>
        <v>-0.1</v>
      </c>
      <c r="K62" s="292">
        <f t="shared" si="8"/>
        <v>0.55000000000000004</v>
      </c>
      <c r="L62" s="292">
        <f t="shared" si="9"/>
        <v>0.45</v>
      </c>
      <c r="M62" s="292"/>
    </row>
    <row r="63" spans="3:21">
      <c r="D63" s="277" t="s">
        <v>524</v>
      </c>
      <c r="E63" s="382">
        <f>'Independent Cost Inputs'!I95</f>
        <v>1.08</v>
      </c>
      <c r="F63" s="383">
        <v>1.08</v>
      </c>
      <c r="H63" s="283">
        <f>H58</f>
        <v>0.1</v>
      </c>
      <c r="I63" s="283">
        <f>I58</f>
        <v>-0.1</v>
      </c>
      <c r="K63" s="292">
        <f t="shared" si="8"/>
        <v>1.1880000000000002</v>
      </c>
      <c r="L63" s="292">
        <f t="shared" si="9"/>
        <v>0.97200000000000009</v>
      </c>
      <c r="M63" s="292"/>
    </row>
    <row r="64" spans="3:21">
      <c r="D64" s="277" t="s">
        <v>16</v>
      </c>
      <c r="F64" s="384"/>
      <c r="H64" s="283"/>
      <c r="I64" s="283"/>
      <c r="K64" s="292"/>
      <c r="L64" s="292"/>
      <c r="M64" s="292"/>
      <c r="N64" s="444">
        <f>N57</f>
        <v>81.40901290216479</v>
      </c>
      <c r="O64" s="444">
        <f>O57</f>
        <v>128.09234959091251</v>
      </c>
      <c r="Q64" s="445">
        <v>83.603310784171128</v>
      </c>
      <c r="R64" s="445">
        <v>132.12289891825441</v>
      </c>
      <c r="T64" s="277">
        <v>79.214715020158437</v>
      </c>
      <c r="U64" s="277">
        <v>124.06180026357062</v>
      </c>
    </row>
    <row r="65" spans="3:21">
      <c r="F65" s="384"/>
      <c r="H65" s="283"/>
      <c r="I65" s="283"/>
      <c r="K65" s="292"/>
      <c r="L65" s="292"/>
      <c r="M65" s="292"/>
    </row>
    <row r="67" spans="3:21">
      <c r="C67" s="277">
        <v>6</v>
      </c>
      <c r="D67" s="277" t="s">
        <v>302</v>
      </c>
      <c r="N67" s="277" t="s">
        <v>531</v>
      </c>
      <c r="O67" s="277" t="s">
        <v>532</v>
      </c>
      <c r="Q67" s="277" t="s">
        <v>514</v>
      </c>
      <c r="R67" s="277" t="s">
        <v>516</v>
      </c>
      <c r="T67" s="277" t="s">
        <v>515</v>
      </c>
      <c r="U67" s="277" t="s">
        <v>517</v>
      </c>
    </row>
    <row r="68" spans="3:21">
      <c r="D68" s="277" t="s">
        <v>379</v>
      </c>
      <c r="E68" s="380">
        <f>'Independent Cost Inputs'!I98</f>
        <v>0.6</v>
      </c>
      <c r="F68" s="299">
        <v>0.6</v>
      </c>
      <c r="K68" s="334">
        <v>0.7</v>
      </c>
      <c r="L68" s="334">
        <v>0.5</v>
      </c>
    </row>
    <row r="69" spans="3:21">
      <c r="D69" s="277" t="s">
        <v>526</v>
      </c>
      <c r="E69" s="380">
        <f>'Independent Cost Inputs'!I90</f>
        <v>0.2</v>
      </c>
      <c r="F69" s="299">
        <v>0.2</v>
      </c>
      <c r="K69" s="334">
        <v>0.1</v>
      </c>
      <c r="L69" s="334">
        <v>0.3</v>
      </c>
    </row>
    <row r="70" spans="3:21">
      <c r="D70" s="277" t="s">
        <v>15</v>
      </c>
      <c r="F70" s="384"/>
      <c r="K70" s="300"/>
      <c r="L70" s="300"/>
      <c r="M70" s="300"/>
      <c r="N70" s="179">
        <f>N56</f>
        <v>56.769272899312313</v>
      </c>
      <c r="O70" s="179">
        <f>O56</f>
        <v>80.802384721910357</v>
      </c>
      <c r="Q70" s="445">
        <v>57.967191287743667</v>
      </c>
      <c r="R70" s="445">
        <v>83.00275559876134</v>
      </c>
      <c r="T70" s="445">
        <v>55.57135451088093</v>
      </c>
      <c r="U70" s="445">
        <v>78.602013845059375</v>
      </c>
    </row>
    <row r="71" spans="3:21">
      <c r="D71" s="277" t="s">
        <v>16</v>
      </c>
      <c r="F71" s="384"/>
      <c r="K71" s="300"/>
      <c r="L71" s="300"/>
      <c r="M71" s="300"/>
      <c r="N71" s="179">
        <f t="shared" ref="N71:O72" si="10">N57</f>
        <v>81.40901290216479</v>
      </c>
      <c r="O71" s="179">
        <f t="shared" si="10"/>
        <v>128.09234959091251</v>
      </c>
      <c r="Q71" s="445">
        <v>84.971308495594585</v>
      </c>
      <c r="R71" s="445">
        <v>134.63567637695641</v>
      </c>
      <c r="T71" s="445">
        <v>77.846717308734981</v>
      </c>
      <c r="U71" s="445">
        <v>121.54902280486859</v>
      </c>
    </row>
    <row r="72" spans="3:21">
      <c r="D72" s="277" t="s">
        <v>17</v>
      </c>
      <c r="F72" s="384"/>
      <c r="K72" s="300"/>
      <c r="L72" s="300"/>
      <c r="M72" s="300"/>
      <c r="N72" s="179">
        <f t="shared" si="10"/>
        <v>43.471578982484466</v>
      </c>
      <c r="O72" s="179">
        <f t="shared" si="10"/>
        <v>65.201785153030812</v>
      </c>
      <c r="Q72" s="445">
        <v>45.690769570015533</v>
      </c>
      <c r="R72" s="445">
        <v>69.278058116316188</v>
      </c>
      <c r="T72" s="445">
        <v>41.252388394953421</v>
      </c>
      <c r="U72" s="445">
        <v>61.125512189745464</v>
      </c>
    </row>
    <row r="73" spans="3:21">
      <c r="N73" s="179"/>
      <c r="O73" s="179"/>
    </row>
    <row r="74" spans="3:21">
      <c r="C74" s="277">
        <v>7</v>
      </c>
      <c r="D74" s="277" t="s">
        <v>527</v>
      </c>
      <c r="N74" s="179" t="s">
        <v>531</v>
      </c>
      <c r="O74" s="179" t="s">
        <v>532</v>
      </c>
      <c r="Q74" s="277" t="s">
        <v>514</v>
      </c>
      <c r="R74" s="277" t="s">
        <v>516</v>
      </c>
      <c r="T74" s="277" t="s">
        <v>515</v>
      </c>
      <c r="U74" s="277" t="s">
        <v>517</v>
      </c>
    </row>
    <row r="75" spans="3:21">
      <c r="D75" s="277" t="s">
        <v>15</v>
      </c>
      <c r="E75" s="174">
        <f>Call_Time_Blend</f>
        <v>14.481099584946872</v>
      </c>
      <c r="F75" s="350">
        <v>14.481099584946872</v>
      </c>
      <c r="H75" s="334">
        <v>0.1</v>
      </c>
      <c r="I75" s="334">
        <v>-0.1</v>
      </c>
      <c r="K75" s="292">
        <f t="shared" ref="K75" si="11">(1+H75)*$F75</f>
        <v>15.92920954344156</v>
      </c>
      <c r="L75" s="292">
        <f t="shared" ref="L75" si="12">(1+I75)*$F75</f>
        <v>13.032989626452185</v>
      </c>
      <c r="M75" s="292"/>
      <c r="N75" s="179">
        <f>N70</f>
        <v>56.769272899312313</v>
      </c>
      <c r="O75" s="179">
        <f>O70</f>
        <v>80.802384721910357</v>
      </c>
      <c r="Q75" s="445">
        <v>52.82550105437889</v>
      </c>
      <c r="R75" s="445">
        <v>73.558351408506113</v>
      </c>
      <c r="T75" s="445">
        <v>60.7130447442457</v>
      </c>
      <c r="U75" s="445">
        <v>88.046418035314559</v>
      </c>
    </row>
    <row r="76" spans="3:21">
      <c r="D76" s="277" t="s">
        <v>16</v>
      </c>
      <c r="E76" s="174">
        <f>Call_Time_Blend</f>
        <v>14.481099584946872</v>
      </c>
      <c r="F76" s="350">
        <v>14.481099584946872</v>
      </c>
      <c r="H76" s="283">
        <f>H75</f>
        <v>0.1</v>
      </c>
      <c r="I76" s="283">
        <f>I75</f>
        <v>-0.1</v>
      </c>
      <c r="K76" s="292">
        <f t="shared" ref="K76:K77" si="13">(1+H76)*$F76</f>
        <v>15.92920954344156</v>
      </c>
      <c r="L76" s="292">
        <f t="shared" ref="L76:L77" si="14">(1+I76)*$F76</f>
        <v>13.032989626452185</v>
      </c>
      <c r="M76" s="292"/>
      <c r="N76" s="179">
        <f t="shared" ref="N76:O77" si="15">N71</f>
        <v>81.40901290216479</v>
      </c>
      <c r="O76" s="179">
        <f t="shared" si="15"/>
        <v>128.09234959091251</v>
      </c>
      <c r="Q76" s="445">
        <v>77.219470255941161</v>
      </c>
      <c r="R76" s="445">
        <v>120.39687741592819</v>
      </c>
      <c r="T76" s="445">
        <v>85.598555548388404</v>
      </c>
      <c r="U76" s="445">
        <v>135.78782176589681</v>
      </c>
    </row>
    <row r="77" spans="3:21">
      <c r="D77" s="277" t="s">
        <v>17</v>
      </c>
      <c r="E77" s="174">
        <f>Call_Time_Blend</f>
        <v>14.481099584946872</v>
      </c>
      <c r="F77" s="350">
        <v>14.481099584946872</v>
      </c>
      <c r="H77" s="283">
        <f>H75</f>
        <v>0.1</v>
      </c>
      <c r="I77" s="283">
        <f>I75</f>
        <v>-0.1</v>
      </c>
      <c r="K77" s="292">
        <f t="shared" si="13"/>
        <v>15.92920954344156</v>
      </c>
      <c r="L77" s="292">
        <f t="shared" si="14"/>
        <v>13.032989626452185</v>
      </c>
      <c r="M77" s="292"/>
      <c r="N77" s="179">
        <f t="shared" si="15"/>
        <v>43.471578982484466</v>
      </c>
      <c r="O77" s="179">
        <f t="shared" si="15"/>
        <v>65.201785153030812</v>
      </c>
      <c r="Q77" s="445">
        <v>39.527807137551065</v>
      </c>
      <c r="R77" s="445">
        <v>57.957751839626596</v>
      </c>
      <c r="T77" s="445">
        <v>47.415350827417882</v>
      </c>
      <c r="U77" s="445">
        <v>72.445818466435028</v>
      </c>
    </row>
    <row r="78" spans="3:21">
      <c r="N78" s="179"/>
      <c r="O78" s="179"/>
    </row>
    <row r="79" spans="3:21">
      <c r="C79" s="277">
        <v>8</v>
      </c>
      <c r="D79" s="277" t="s">
        <v>528</v>
      </c>
      <c r="N79" s="179" t="s">
        <v>531</v>
      </c>
      <c r="O79" s="179" t="s">
        <v>532</v>
      </c>
      <c r="Q79" s="277" t="s">
        <v>514</v>
      </c>
      <c r="R79" s="277" t="s">
        <v>516</v>
      </c>
      <c r="T79" s="277" t="s">
        <v>515</v>
      </c>
      <c r="U79" s="277" t="s">
        <v>517</v>
      </c>
    </row>
    <row r="80" spans="3:21">
      <c r="D80" s="277" t="s">
        <v>15</v>
      </c>
      <c r="E80" s="381">
        <f ca="1">FTE_Cost</f>
        <v>60000</v>
      </c>
      <c r="F80" s="385">
        <v>60000</v>
      </c>
      <c r="H80" s="334">
        <v>0.1</v>
      </c>
      <c r="I80" s="334">
        <v>-0.1</v>
      </c>
      <c r="K80" s="286">
        <f t="shared" ref="K80:K82" si="16">(1+H80)*$F80</f>
        <v>66000</v>
      </c>
      <c r="L80" s="286">
        <f t="shared" ref="L80:L82" si="17">(1+I80)*$F80</f>
        <v>54000</v>
      </c>
      <c r="M80" s="286"/>
      <c r="N80" s="179">
        <f>N75</f>
        <v>56.769272899312313</v>
      </c>
      <c r="O80" s="179">
        <f>O75</f>
        <v>80.802384721910357</v>
      </c>
      <c r="Q80" s="445">
        <v>57.079694641322043</v>
      </c>
      <c r="R80" s="445">
        <v>81.372576286925067</v>
      </c>
      <c r="T80" s="445">
        <v>56.458851157302561</v>
      </c>
      <c r="U80" s="445">
        <v>80.232193156895647</v>
      </c>
    </row>
    <row r="81" spans="3:21">
      <c r="D81" s="277" t="s">
        <v>16</v>
      </c>
      <c r="E81" s="381">
        <f ca="1">FTE_Cost</f>
        <v>60000</v>
      </c>
      <c r="F81" s="385">
        <v>60000</v>
      </c>
      <c r="H81" s="283">
        <f>H80</f>
        <v>0.1</v>
      </c>
      <c r="I81" s="283">
        <f>I80</f>
        <v>-0.1</v>
      </c>
      <c r="K81" s="286">
        <f t="shared" si="16"/>
        <v>66000</v>
      </c>
      <c r="L81" s="286">
        <f t="shared" si="17"/>
        <v>54000</v>
      </c>
      <c r="M81" s="286"/>
      <c r="N81" s="179">
        <f t="shared" ref="N81:O82" si="18">N76</f>
        <v>81.40901290216479</v>
      </c>
      <c r="O81" s="179">
        <f t="shared" si="18"/>
        <v>128.09234959091251</v>
      </c>
      <c r="Q81" s="445">
        <v>81.678944851738478</v>
      </c>
      <c r="R81" s="445">
        <v>128.58816834309923</v>
      </c>
      <c r="T81" s="445">
        <v>81.139080952591101</v>
      </c>
      <c r="U81" s="445">
        <v>127.59653083872581</v>
      </c>
    </row>
    <row r="82" spans="3:21">
      <c r="D82" s="277" t="s">
        <v>17</v>
      </c>
      <c r="E82" s="381">
        <f ca="1">FTE_Cost</f>
        <v>60000</v>
      </c>
      <c r="F82" s="385">
        <v>60000</v>
      </c>
      <c r="H82" s="283">
        <f>H80</f>
        <v>0.1</v>
      </c>
      <c r="I82" s="283">
        <f>I80</f>
        <v>-0.1</v>
      </c>
      <c r="K82" s="286">
        <f t="shared" si="16"/>
        <v>66000</v>
      </c>
      <c r="L82" s="286">
        <f t="shared" si="17"/>
        <v>54000</v>
      </c>
      <c r="M82" s="286"/>
      <c r="N82" s="179">
        <f t="shared" si="18"/>
        <v>43.471578982484466</v>
      </c>
      <c r="O82" s="179">
        <f t="shared" si="18"/>
        <v>65.201785153030812</v>
      </c>
      <c r="Q82" s="445">
        <v>43.674027944664743</v>
      </c>
      <c r="R82" s="445">
        <v>65.573649217170853</v>
      </c>
      <c r="T82" s="445">
        <v>43.26913002030421</v>
      </c>
      <c r="U82" s="445">
        <v>64.829921088890785</v>
      </c>
    </row>
    <row r="83" spans="3:21">
      <c r="N83" s="179"/>
      <c r="O83" s="179"/>
    </row>
    <row r="84" spans="3:21">
      <c r="C84" s="277">
        <v>9</v>
      </c>
      <c r="D84" s="277" t="s">
        <v>529</v>
      </c>
      <c r="N84" s="179" t="s">
        <v>531</v>
      </c>
      <c r="O84" s="179" t="s">
        <v>532</v>
      </c>
      <c r="Q84" s="277" t="s">
        <v>514</v>
      </c>
      <c r="R84" s="277" t="s">
        <v>516</v>
      </c>
      <c r="T84" s="277" t="s">
        <v>515</v>
      </c>
      <c r="U84" s="277" t="s">
        <v>517</v>
      </c>
    </row>
    <row r="85" spans="3:21">
      <c r="D85" s="277" t="s">
        <v>15</v>
      </c>
      <c r="E85" s="174">
        <f ca="1">Day_Rate</f>
        <v>500</v>
      </c>
      <c r="F85" s="202">
        <v>500</v>
      </c>
      <c r="H85" s="334">
        <v>0.1</v>
      </c>
      <c r="I85" s="334">
        <v>-0.1</v>
      </c>
      <c r="K85" s="286">
        <f t="shared" ref="K85:K87" si="19">(1+H85)*$F85</f>
        <v>550</v>
      </c>
      <c r="L85" s="286">
        <f t="shared" ref="L85:L87" si="20">(1+I85)*$F85</f>
        <v>450</v>
      </c>
      <c r="M85" s="286"/>
      <c r="N85" s="179">
        <f>N80</f>
        <v>56.769272899312313</v>
      </c>
      <c r="O85" s="179">
        <f>O80</f>
        <v>80.802384721910357</v>
      </c>
      <c r="Q85" s="445">
        <v>58.624502756183176</v>
      </c>
      <c r="R85" s="445">
        <v>83.388358385234341</v>
      </c>
      <c r="T85" s="445">
        <v>54.914043042441421</v>
      </c>
      <c r="U85" s="445">
        <v>78.216411058586345</v>
      </c>
    </row>
    <row r="86" spans="3:21">
      <c r="D86" s="277" t="s">
        <v>16</v>
      </c>
      <c r="E86" s="174">
        <f ca="1">Day_Rate</f>
        <v>500</v>
      </c>
      <c r="F86" s="202">
        <v>500</v>
      </c>
      <c r="H86" s="283">
        <f>H85</f>
        <v>0.1</v>
      </c>
      <c r="I86" s="283">
        <f>I85</f>
        <v>-0.1</v>
      </c>
      <c r="K86" s="286">
        <f t="shared" si="19"/>
        <v>550</v>
      </c>
      <c r="L86" s="286">
        <f t="shared" si="20"/>
        <v>450</v>
      </c>
      <c r="M86" s="286"/>
      <c r="N86" s="179">
        <f t="shared" ref="N86:O87" si="21">N81</f>
        <v>81.40901290216479</v>
      </c>
      <c r="O86" s="179">
        <f t="shared" si="21"/>
        <v>128.09234959091251</v>
      </c>
      <c r="Q86" s="445">
        <v>83.107511472902914</v>
      </c>
      <c r="R86" s="445">
        <v>130.45947309738514</v>
      </c>
      <c r="T86" s="445">
        <v>79.71051433142668</v>
      </c>
      <c r="U86" s="445">
        <v>125.72522608443987</v>
      </c>
    </row>
    <row r="87" spans="3:21">
      <c r="D87" s="277" t="s">
        <v>17</v>
      </c>
      <c r="E87" s="174">
        <f ca="1">Day_Rate</f>
        <v>500</v>
      </c>
      <c r="F87" s="202">
        <v>500</v>
      </c>
      <c r="H87" s="283">
        <f>H85</f>
        <v>0.1</v>
      </c>
      <c r="I87" s="283">
        <f>I85</f>
        <v>-0.1</v>
      </c>
      <c r="K87" s="286">
        <f t="shared" si="19"/>
        <v>550</v>
      </c>
      <c r="L87" s="286">
        <f t="shared" si="20"/>
        <v>450</v>
      </c>
      <c r="M87" s="286"/>
      <c r="N87" s="179">
        <f t="shared" si="21"/>
        <v>43.471578982484466</v>
      </c>
      <c r="O87" s="179">
        <f t="shared" si="21"/>
        <v>65.201785153030812</v>
      </c>
      <c r="Q87" s="445">
        <v>44.286683031383376</v>
      </c>
      <c r="R87" s="445">
        <v>66.335389593614067</v>
      </c>
      <c r="T87" s="445">
        <v>42.656474933585578</v>
      </c>
      <c r="U87" s="445">
        <v>64.068180712447571</v>
      </c>
    </row>
    <row r="88" spans="3:21">
      <c r="N88" s="179"/>
      <c r="O88" s="179"/>
    </row>
    <row r="89" spans="3:21">
      <c r="C89" s="277">
        <v>10</v>
      </c>
      <c r="D89" s="277" t="s">
        <v>530</v>
      </c>
      <c r="N89" s="179" t="s">
        <v>531</v>
      </c>
      <c r="O89" s="179" t="s">
        <v>532</v>
      </c>
      <c r="Q89" s="277" t="s">
        <v>514</v>
      </c>
      <c r="R89" s="277" t="s">
        <v>516</v>
      </c>
      <c r="T89" s="277" t="s">
        <v>515</v>
      </c>
      <c r="U89" s="277" t="s">
        <v>517</v>
      </c>
    </row>
    <row r="90" spans="3:21">
      <c r="D90" s="277" t="s">
        <v>15</v>
      </c>
      <c r="E90" s="380">
        <f>'Independent Cost Inputs'!$I$48</f>
        <v>7.1725401430982577E-2</v>
      </c>
      <c r="F90" s="79">
        <v>7.1725401430982577E-2</v>
      </c>
      <c r="H90" s="334">
        <v>0.1</v>
      </c>
      <c r="I90" s="334">
        <v>-0.1</v>
      </c>
      <c r="K90" s="282">
        <f t="shared" ref="K90:K92" si="22">(1+H90)*$F90</f>
        <v>7.8897941574080838E-2</v>
      </c>
      <c r="L90" s="282">
        <f t="shared" ref="L90:L92" si="23">(1+I90)*$F90</f>
        <v>6.4552861287884317E-2</v>
      </c>
      <c r="M90" s="282"/>
      <c r="N90" s="179">
        <f>N85</f>
        <v>56.769272899312313</v>
      </c>
      <c r="O90" s="179">
        <f>O85</f>
        <v>80.802384721910357</v>
      </c>
      <c r="Q90" s="445">
        <v>57.727607610057404</v>
      </c>
      <c r="R90" s="445">
        <v>82.562681423391155</v>
      </c>
      <c r="T90" s="445">
        <v>55.810938188567199</v>
      </c>
      <c r="U90" s="445">
        <v>79.042088020429546</v>
      </c>
    </row>
    <row r="91" spans="3:21">
      <c r="D91" s="277" t="s">
        <v>16</v>
      </c>
      <c r="E91" s="380">
        <f>'Independent Cost Inputs'!$I$48</f>
        <v>7.1725401430982577E-2</v>
      </c>
      <c r="F91" s="79">
        <v>7.1725401430982577E-2</v>
      </c>
      <c r="H91" s="283">
        <f>H90</f>
        <v>0.1</v>
      </c>
      <c r="I91" s="283">
        <f>I90</f>
        <v>-0.1</v>
      </c>
      <c r="K91" s="282">
        <f t="shared" si="22"/>
        <v>7.8897941574080838E-2</v>
      </c>
      <c r="L91" s="282">
        <f t="shared" si="23"/>
        <v>6.4552861287884317E-2</v>
      </c>
      <c r="M91" s="282"/>
      <c r="N91" s="179">
        <f t="shared" ref="N91:O92" si="24">N86</f>
        <v>81.40901290216479</v>
      </c>
      <c r="O91" s="179">
        <f t="shared" si="24"/>
        <v>128.09234959091251</v>
      </c>
      <c r="Q91" s="445">
        <v>85.199989856329509</v>
      </c>
      <c r="R91" s="445">
        <v>135.05572486364727</v>
      </c>
      <c r="T91" s="445">
        <v>77.618035948000042</v>
      </c>
      <c r="U91" s="445">
        <v>121.12897431817768</v>
      </c>
    </row>
    <row r="92" spans="3:21">
      <c r="D92" s="277" t="s">
        <v>17</v>
      </c>
      <c r="E92" s="380">
        <f>'Independent Cost Inputs'!$I$48</f>
        <v>7.1725401430982577E-2</v>
      </c>
      <c r="F92" s="79">
        <v>7.1725401430982577E-2</v>
      </c>
      <c r="H92" s="283">
        <f>H90</f>
        <v>0.1</v>
      </c>
      <c r="I92" s="283">
        <f>I90</f>
        <v>-0.1</v>
      </c>
      <c r="K92" s="282">
        <f t="shared" si="22"/>
        <v>7.8897941574080838E-2</v>
      </c>
      <c r="L92" s="282">
        <f t="shared" si="23"/>
        <v>6.4552861287884317E-2</v>
      </c>
      <c r="M92" s="282"/>
      <c r="N92" s="179">
        <f t="shared" si="24"/>
        <v>43.471578982484466</v>
      </c>
      <c r="O92" s="179">
        <f t="shared" si="24"/>
        <v>65.201785153030812</v>
      </c>
      <c r="Q92" s="445">
        <v>45.246931452509315</v>
      </c>
      <c r="R92" s="445">
        <v>68.46280352365909</v>
      </c>
      <c r="T92" s="445">
        <v>41.696226512459639</v>
      </c>
      <c r="U92" s="445">
        <v>61.940766782402541</v>
      </c>
    </row>
    <row r="94" spans="3:21">
      <c r="C94" s="257" t="s">
        <v>539</v>
      </c>
    </row>
    <row r="96" spans="3:21">
      <c r="D96" s="257" t="s">
        <v>538</v>
      </c>
      <c r="E96" s="277" t="s">
        <v>126</v>
      </c>
      <c r="F96" s="277" t="s">
        <v>534</v>
      </c>
      <c r="G96" s="277" t="s">
        <v>536</v>
      </c>
    </row>
    <row r="97" spans="3:7">
      <c r="C97" s="277">
        <v>1</v>
      </c>
      <c r="D97" s="277" t="s">
        <v>533</v>
      </c>
      <c r="E97" s="277" t="s">
        <v>15</v>
      </c>
      <c r="F97" s="282">
        <f>T33/N33-1</f>
        <v>-8.6351406409115983E-2</v>
      </c>
      <c r="G97" s="282">
        <f>Q33/N33-1</f>
        <v>8.6351406409115317E-2</v>
      </c>
    </row>
    <row r="98" spans="3:7">
      <c r="D98" s="277" t="s">
        <v>533</v>
      </c>
      <c r="E98" s="277" t="s">
        <v>16</v>
      </c>
      <c r="F98" s="282">
        <f>T37/N37-1</f>
        <v>-7.1075935109737198E-2</v>
      </c>
      <c r="G98" s="282">
        <f>Q37/N37-1</f>
        <v>7.1075935109736976E-2</v>
      </c>
    </row>
    <row r="99" spans="3:7">
      <c r="D99" s="277" t="s">
        <v>533</v>
      </c>
      <c r="E99" s="277" t="s">
        <v>17</v>
      </c>
      <c r="F99" s="282">
        <f>T41/N41-1</f>
        <v>-0.1315600778444832</v>
      </c>
      <c r="G99" s="282">
        <f>Q41/N41-1</f>
        <v>0.13156007784448343</v>
      </c>
    </row>
    <row r="100" spans="3:7">
      <c r="F100" s="282"/>
      <c r="G100" s="282"/>
    </row>
    <row r="101" spans="3:7">
      <c r="C101" s="277">
        <v>2</v>
      </c>
      <c r="D101" s="277" t="str">
        <f>D44</f>
        <v>Capex to OPEX ratio</v>
      </c>
      <c r="E101" s="277" t="s">
        <v>15</v>
      </c>
      <c r="F101" s="282">
        <f>T46/N46-1</f>
        <v>-2.7091016040029725E-2</v>
      </c>
      <c r="G101" s="282">
        <f>Q46/N46-1</f>
        <v>2.7091016040029503E-2</v>
      </c>
    </row>
    <row r="102" spans="3:7">
      <c r="D102" s="277" t="str">
        <f>D101</f>
        <v>Capex to OPEX ratio</v>
      </c>
      <c r="E102" s="277" t="s">
        <v>16</v>
      </c>
      <c r="F102" s="282">
        <f t="shared" ref="F102" si="25">T47/N47-1</f>
        <v>-1.7841499119308435E-2</v>
      </c>
      <c r="G102" s="282">
        <f>Q47/N47-1</f>
        <v>1.7841499119308546E-2</v>
      </c>
    </row>
    <row r="103" spans="3:7">
      <c r="D103" s="277" t="str">
        <f>D102</f>
        <v>Capex to OPEX ratio</v>
      </c>
      <c r="E103" s="277" t="s">
        <v>17</v>
      </c>
      <c r="F103" s="282">
        <f t="shared" ref="F103" si="26">T48/N48-1</f>
        <v>-1.3409693254261001E-2</v>
      </c>
      <c r="G103" s="282">
        <f>Q48/N48-1</f>
        <v>1.3409693254261335E-2</v>
      </c>
    </row>
    <row r="104" spans="3:7">
      <c r="F104" s="282"/>
      <c r="G104" s="282"/>
    </row>
    <row r="105" spans="3:7">
      <c r="C105" s="277">
        <v>3</v>
      </c>
      <c r="D105" s="277" t="str">
        <f>D50</f>
        <v>CSA Training Costs</v>
      </c>
      <c r="E105" s="277" t="s">
        <v>15</v>
      </c>
      <c r="F105" s="282">
        <f>T51/N51-1</f>
        <v>-1.9250634321948179E-2</v>
      </c>
      <c r="G105" s="282">
        <f>Q51/N51-1</f>
        <v>1.9250634321948068E-2</v>
      </c>
    </row>
    <row r="106" spans="3:7">
      <c r="D106" s="277" t="str">
        <f>D105</f>
        <v>CSA Training Costs</v>
      </c>
      <c r="E106" s="277" t="s">
        <v>16</v>
      </c>
      <c r="F106" s="282">
        <f t="shared" ref="F106" si="27">T52/N52-1</f>
        <v>-1.3424121904301645E-2</v>
      </c>
      <c r="G106" s="282">
        <f>Q52/N52-1</f>
        <v>1.3424121904301867E-2</v>
      </c>
    </row>
    <row r="107" spans="3:7">
      <c r="D107" s="277" t="str">
        <f>D106</f>
        <v>CSA Training Costs</v>
      </c>
      <c r="E107" s="277" t="s">
        <v>17</v>
      </c>
      <c r="F107" s="282">
        <f t="shared" ref="F107" si="28">T53/N53-1</f>
        <v>-4.1898812162152188E-3</v>
      </c>
      <c r="G107" s="282">
        <f>Q53/N53-1</f>
        <v>4.1898812162153298E-3</v>
      </c>
    </row>
    <row r="108" spans="3:7">
      <c r="F108" s="282"/>
      <c r="G108" s="282"/>
    </row>
    <row r="109" spans="3:7">
      <c r="C109" s="277">
        <v>4</v>
      </c>
      <c r="D109" s="277" t="str">
        <f>D55</f>
        <v>CSA Cost per Minute</v>
      </c>
      <c r="E109" s="277" t="s">
        <v>15</v>
      </c>
      <c r="F109" s="282">
        <f>T56/N56-1</f>
        <v>1.6881222214080838E-2</v>
      </c>
      <c r="G109" s="282">
        <f>Q56/N56-1</f>
        <v>1.6881222214080838E-2</v>
      </c>
    </row>
    <row r="110" spans="3:7">
      <c r="D110" s="277" t="str">
        <f>D109</f>
        <v>CSA Cost per Minute</v>
      </c>
      <c r="E110" s="277" t="s">
        <v>16</v>
      </c>
      <c r="F110" s="282">
        <f t="shared" ref="F110:F111" si="29">T57/N57-1</f>
        <v>1.9613050388870734E-2</v>
      </c>
      <c r="G110" s="282">
        <f>Q57/N57-1</f>
        <v>1.9613050388870734E-2</v>
      </c>
    </row>
    <row r="111" spans="3:7">
      <c r="D111" s="277" t="str">
        <f>D110</f>
        <v>CSA Cost per Minute</v>
      </c>
      <c r="E111" s="277" t="s">
        <v>17</v>
      </c>
      <c r="F111" s="282">
        <f t="shared" si="29"/>
        <v>4.0839383145944153E-2</v>
      </c>
      <c r="G111" s="282">
        <f>Q58/N58-1</f>
        <v>4.0839383145944153E-2</v>
      </c>
    </row>
    <row r="112" spans="3:7">
      <c r="F112" s="282"/>
      <c r="G112" s="282"/>
    </row>
    <row r="113" spans="3:7">
      <c r="C113" s="277">
        <v>5</v>
      </c>
      <c r="D113" s="277" t="str">
        <f>D60</f>
        <v>TPV Fee</v>
      </c>
      <c r="E113" s="277" t="s">
        <v>16</v>
      </c>
      <c r="F113" s="282">
        <f>T64/N64-1</f>
        <v>-2.695399199402404E-2</v>
      </c>
      <c r="G113" s="282">
        <f>Q64/N64-1</f>
        <v>2.6953991994023818E-2</v>
      </c>
    </row>
    <row r="114" spans="3:7">
      <c r="F114" s="282"/>
      <c r="G114" s="282"/>
    </row>
    <row r="115" spans="3:7">
      <c r="C115" s="277">
        <v>6</v>
      </c>
      <c r="D115" s="277" t="str">
        <f>D67</f>
        <v>Channel Mix</v>
      </c>
      <c r="E115" s="277" t="s">
        <v>15</v>
      </c>
      <c r="F115" s="282">
        <f>T70/N70-1</f>
        <v>-2.1101527767601436E-2</v>
      </c>
      <c r="G115" s="282">
        <f>Q70/N70-1</f>
        <v>2.1101527767600992E-2</v>
      </c>
    </row>
    <row r="116" spans="3:7">
      <c r="D116" s="277" t="str">
        <f>D115</f>
        <v>Channel Mix</v>
      </c>
      <c r="E116" s="277" t="s">
        <v>16</v>
      </c>
      <c r="F116" s="282">
        <f t="shared" ref="F116" si="30">T71/N71-1</f>
        <v>-4.3758000084227588E-2</v>
      </c>
      <c r="G116" s="282">
        <f>Q71/N71-1</f>
        <v>4.3758000084227477E-2</v>
      </c>
    </row>
    <row r="117" spans="3:7">
      <c r="D117" s="277" t="str">
        <f>D116</f>
        <v>Channel Mix</v>
      </c>
      <c r="E117" s="277" t="s">
        <v>17</v>
      </c>
      <c r="F117" s="282">
        <f t="shared" ref="F117" si="31">T72/N72-1</f>
        <v>-5.104922893242958E-2</v>
      </c>
      <c r="G117" s="282">
        <f>Q72/N72-1</f>
        <v>5.1049228932430024E-2</v>
      </c>
    </row>
    <row r="118" spans="3:7">
      <c r="F118" s="282"/>
      <c r="G118" s="282"/>
    </row>
    <row r="119" spans="3:7">
      <c r="C119" s="277">
        <v>7</v>
      </c>
      <c r="D119" s="277" t="str">
        <f>D74</f>
        <v>Current Call time</v>
      </c>
      <c r="E119" s="277" t="s">
        <v>15</v>
      </c>
      <c r="F119" s="282">
        <f>Q75/N75-1</f>
        <v>-6.9470184195034812E-2</v>
      </c>
      <c r="G119" s="282">
        <f>T75/N75-1</f>
        <v>6.9470184195034257E-2</v>
      </c>
    </row>
    <row r="120" spans="3:7">
      <c r="D120" s="277" t="str">
        <f>D119</f>
        <v>Current Call time</v>
      </c>
      <c r="E120" s="277" t="s">
        <v>16</v>
      </c>
      <c r="F120" s="282">
        <f t="shared" ref="F120" si="32">Q76/N76-1</f>
        <v>-5.1462884720866353E-2</v>
      </c>
      <c r="G120" s="282">
        <f>T76/N76-1</f>
        <v>5.1462884720866242E-2</v>
      </c>
    </row>
    <row r="121" spans="3:7">
      <c r="D121" s="277" t="str">
        <f>D120</f>
        <v>Current Call time</v>
      </c>
      <c r="E121" s="277" t="s">
        <v>17</v>
      </c>
      <c r="F121" s="282">
        <f t="shared" ref="F121" si="33">Q77/N77-1</f>
        <v>-9.0720694698539051E-2</v>
      </c>
      <c r="G121" s="282">
        <f>T77/N77-1</f>
        <v>9.0720694698539495E-2</v>
      </c>
    </row>
    <row r="122" spans="3:7">
      <c r="F122" s="282"/>
      <c r="G122" s="282"/>
    </row>
    <row r="123" spans="3:7">
      <c r="C123" s="277">
        <v>8</v>
      </c>
      <c r="D123" s="277" t="str">
        <f>D79</f>
        <v>FTE Costs</v>
      </c>
      <c r="E123" s="277" t="s">
        <v>15</v>
      </c>
      <c r="F123" s="282">
        <f>T80/N80-1</f>
        <v>-5.4681296087819575E-3</v>
      </c>
      <c r="G123" s="282">
        <f>Q80/N80-1</f>
        <v>5.4681296087815134E-3</v>
      </c>
    </row>
    <row r="124" spans="3:7">
      <c r="D124" s="277" t="str">
        <f>D123</f>
        <v>FTE Costs</v>
      </c>
      <c r="E124" s="277" t="s">
        <v>16</v>
      </c>
      <c r="F124" s="282">
        <f t="shared" ref="F124" si="34">T81/N81-1</f>
        <v>-3.3157501847871362E-3</v>
      </c>
      <c r="G124" s="282">
        <f>Q81/N81-1</f>
        <v>3.3157501847871362E-3</v>
      </c>
    </row>
    <row r="125" spans="3:7">
      <c r="D125" s="277" t="str">
        <f>D124</f>
        <v>FTE Costs</v>
      </c>
      <c r="E125" s="277" t="s">
        <v>17</v>
      </c>
      <c r="F125" s="282">
        <f t="shared" ref="F125" si="35">T82/N82-1</f>
        <v>-4.6570418401831182E-3</v>
      </c>
      <c r="G125" s="282">
        <f>Q82/N82-1</f>
        <v>4.6570418401836733E-3</v>
      </c>
    </row>
    <row r="126" spans="3:7">
      <c r="F126" s="282"/>
      <c r="G126" s="282"/>
    </row>
    <row r="127" spans="3:7">
      <c r="C127" s="277">
        <v>9</v>
      </c>
      <c r="D127" s="277" t="str">
        <f>D84</f>
        <v>Day Rate</v>
      </c>
      <c r="E127" s="277" t="s">
        <v>15</v>
      </c>
      <c r="F127" s="282">
        <f>T85/N85-1</f>
        <v>-3.2680176477887679E-2</v>
      </c>
      <c r="G127" s="282">
        <f>Q85/N85-1</f>
        <v>3.2680176477887235E-2</v>
      </c>
    </row>
    <row r="128" spans="3:7">
      <c r="D128" s="277" t="str">
        <f>D127</f>
        <v>Day Rate</v>
      </c>
      <c r="E128" s="277" t="s">
        <v>16</v>
      </c>
      <c r="F128" s="282">
        <f t="shared" ref="F128:F129" si="36">T86/N86-1</f>
        <v>-2.0863765696057746E-2</v>
      </c>
      <c r="G128" s="282">
        <f t="shared" ref="G128:G129" si="37">Q86/N86-1</f>
        <v>2.0863765696057968E-2</v>
      </c>
    </row>
    <row r="129" spans="3:7">
      <c r="D129" s="277" t="str">
        <f>D128</f>
        <v>Day Rate</v>
      </c>
      <c r="E129" s="277" t="s">
        <v>17</v>
      </c>
      <c r="F129" s="282">
        <f t="shared" si="36"/>
        <v>-1.8750274730699568E-2</v>
      </c>
      <c r="G129" s="282">
        <f t="shared" si="37"/>
        <v>1.8750274730700012E-2</v>
      </c>
    </row>
    <row r="130" spans="3:7">
      <c r="F130" s="282"/>
      <c r="G130" s="282"/>
    </row>
    <row r="131" spans="3:7">
      <c r="C131" s="277">
        <v>10</v>
      </c>
      <c r="D131" s="277" t="str">
        <f>D89</f>
        <v>Switching rate</v>
      </c>
      <c r="E131" s="277" t="s">
        <v>15</v>
      </c>
      <c r="F131" s="282">
        <f>T90/N90-1</f>
        <v>-1.6881222214081282E-2</v>
      </c>
      <c r="G131" s="282">
        <f>Q90/N90-1</f>
        <v>1.6881222214080838E-2</v>
      </c>
    </row>
    <row r="132" spans="3:7">
      <c r="D132" s="277" t="str">
        <f>D131</f>
        <v>Switching rate</v>
      </c>
      <c r="E132" s="277" t="s">
        <v>16</v>
      </c>
      <c r="F132" s="282">
        <f t="shared" ref="F132" si="38">T91/N91-1</f>
        <v>-4.6567042382894885E-2</v>
      </c>
      <c r="G132" s="282">
        <f>Q91/N91-1</f>
        <v>4.6567042382894552E-2</v>
      </c>
    </row>
    <row r="133" spans="3:7">
      <c r="D133" s="277" t="str">
        <f>D132</f>
        <v>Switching rate</v>
      </c>
      <c r="E133" s="277" t="s">
        <v>17</v>
      </c>
      <c r="F133" s="282">
        <f t="shared" ref="F133" si="39">T92/N92-1</f>
        <v>-4.0839383145943486E-2</v>
      </c>
      <c r="G133" s="282">
        <f>Q92/N92-1</f>
        <v>4.083938314594393E-2</v>
      </c>
    </row>
    <row r="135" spans="3:7">
      <c r="D135" s="257" t="s">
        <v>538</v>
      </c>
      <c r="E135" s="277" t="s">
        <v>126</v>
      </c>
      <c r="F135" s="277" t="s">
        <v>535</v>
      </c>
      <c r="G135" s="277" t="s">
        <v>537</v>
      </c>
    </row>
    <row r="136" spans="3:7">
      <c r="C136" s="277">
        <v>1</v>
      </c>
      <c r="D136" s="277" t="s">
        <v>533</v>
      </c>
      <c r="E136" s="277" t="s">
        <v>15</v>
      </c>
      <c r="F136" s="282">
        <f>U33/O33-1</f>
        <v>-0.11143643898474487</v>
      </c>
      <c r="G136" s="282">
        <f>R33/O33-1</f>
        <v>0.1114364389847442</v>
      </c>
    </row>
    <row r="137" spans="3:7">
      <c r="D137" s="277" t="s">
        <v>533</v>
      </c>
      <c r="E137" s="277" t="s">
        <v>16</v>
      </c>
      <c r="F137" s="282">
        <f>U37/O37-1</f>
        <v>-8.2973715091656186E-2</v>
      </c>
      <c r="G137" s="282">
        <f>R37/O37-1</f>
        <v>8.2973715091656075E-2</v>
      </c>
    </row>
    <row r="138" spans="3:7">
      <c r="D138" s="277" t="s">
        <v>533</v>
      </c>
      <c r="E138" s="277" t="s">
        <v>17</v>
      </c>
      <c r="F138" s="282">
        <f>U41/O41-1</f>
        <v>-0.16111601330204073</v>
      </c>
      <c r="G138" s="282">
        <f>R41/O41-1</f>
        <v>0.16111601330204106</v>
      </c>
    </row>
    <row r="139" spans="3:7">
      <c r="F139" s="282"/>
      <c r="G139" s="282"/>
    </row>
    <row r="140" spans="3:7">
      <c r="C140" s="277">
        <v>2</v>
      </c>
      <c r="D140" s="277" t="s">
        <v>513</v>
      </c>
      <c r="E140" s="277" t="s">
        <v>15</v>
      </c>
      <c r="F140" s="282">
        <f>U46/O46-1</f>
        <v>-3.4960940203757951E-2</v>
      </c>
      <c r="G140" s="282">
        <f>R46/O46-1</f>
        <v>3.4960940203758062E-2</v>
      </c>
    </row>
    <row r="141" spans="3:7">
      <c r="D141" s="277" t="s">
        <v>513</v>
      </c>
      <c r="E141" s="277" t="s">
        <v>16</v>
      </c>
      <c r="F141" s="282">
        <f>U47/O47-1</f>
        <v>-2.0828082844748019E-2</v>
      </c>
      <c r="G141" s="282">
        <f>R47/O47-1</f>
        <v>2.0828082844748241E-2</v>
      </c>
    </row>
    <row r="142" spans="3:7">
      <c r="D142" s="277" t="s">
        <v>513</v>
      </c>
      <c r="E142" s="277" t="s">
        <v>17</v>
      </c>
      <c r="F142" s="282">
        <f>U48/O48-1</f>
        <v>-1.6422279099619796E-2</v>
      </c>
      <c r="G142" s="282">
        <f>R48/O48-1</f>
        <v>1.6422279099620241E-2</v>
      </c>
    </row>
    <row r="143" spans="3:7">
      <c r="F143" s="282"/>
      <c r="G143" s="282"/>
    </row>
    <row r="144" spans="3:7">
      <c r="C144" s="277">
        <v>3</v>
      </c>
      <c r="D144" s="277" t="s">
        <v>520</v>
      </c>
      <c r="E144" s="277" t="s">
        <v>15</v>
      </c>
      <c r="F144" s="282">
        <f>U51/O51-1</f>
        <v>-1.8885364120994952E-2</v>
      </c>
      <c r="G144" s="282">
        <f>R51/O51-1</f>
        <v>1.8885364120995174E-2</v>
      </c>
    </row>
    <row r="145" spans="3:7">
      <c r="D145" s="277" t="s">
        <v>520</v>
      </c>
      <c r="E145" s="277" t="s">
        <v>16</v>
      </c>
      <c r="F145" s="282">
        <f>U52/O52-1</f>
        <v>-1.1913142839455326E-2</v>
      </c>
      <c r="G145" s="282">
        <f>R52/O52-1</f>
        <v>1.1913142839455215E-2</v>
      </c>
    </row>
    <row r="146" spans="3:7">
      <c r="D146" s="277" t="s">
        <v>520</v>
      </c>
      <c r="E146" s="277" t="s">
        <v>17</v>
      </c>
      <c r="F146" s="282">
        <f>U53/O53-1</f>
        <v>-3.9006663537828334E-3</v>
      </c>
      <c r="G146" s="282">
        <f>R53/O53-1</f>
        <v>3.9006663537828334E-3</v>
      </c>
    </row>
    <row r="147" spans="3:7">
      <c r="F147" s="282"/>
      <c r="G147" s="282"/>
    </row>
    <row r="148" spans="3:7">
      <c r="C148" s="277">
        <v>4</v>
      </c>
      <c r="D148" s="277" t="s">
        <v>521</v>
      </c>
      <c r="E148" s="277" t="s">
        <v>15</v>
      </c>
      <c r="F148" s="282">
        <f>U56/O56-1</f>
        <v>2.1785207299747977E-2</v>
      </c>
      <c r="G148" s="282">
        <f>R56/O56-1</f>
        <v>2.1785207299747977E-2</v>
      </c>
    </row>
    <row r="149" spans="3:7">
      <c r="D149" s="277" t="s">
        <v>521</v>
      </c>
      <c r="E149" s="277" t="s">
        <v>16</v>
      </c>
      <c r="F149" s="282">
        <f>U57/O57-1</f>
        <v>2.2896183532892245E-2</v>
      </c>
      <c r="G149" s="282">
        <f>R57/O57-1</f>
        <v>2.2896183532892245E-2</v>
      </c>
    </row>
    <row r="150" spans="3:7">
      <c r="D150" s="277" t="s">
        <v>521</v>
      </c>
      <c r="E150" s="277" t="s">
        <v>17</v>
      </c>
      <c r="F150" s="282">
        <f>U58/O58-1</f>
        <v>5.0014249808875144E-2</v>
      </c>
      <c r="G150" s="282">
        <f>R58/O58-1</f>
        <v>5.0014249808875144E-2</v>
      </c>
    </row>
    <row r="151" spans="3:7">
      <c r="F151" s="282"/>
      <c r="G151" s="282"/>
    </row>
    <row r="152" spans="3:7">
      <c r="C152" s="277">
        <v>5</v>
      </c>
      <c r="D152" s="277" t="s">
        <v>522</v>
      </c>
      <c r="E152" s="277" t="s">
        <v>16</v>
      </c>
      <c r="F152" s="282">
        <f>U64/O64-1</f>
        <v>-3.1465964518679113E-2</v>
      </c>
      <c r="G152" s="282">
        <f>R64/O64-1</f>
        <v>3.1465964518679224E-2</v>
      </c>
    </row>
    <row r="153" spans="3:7">
      <c r="F153" s="282"/>
      <c r="G153" s="282"/>
    </row>
    <row r="154" spans="3:7">
      <c r="C154" s="277">
        <v>6</v>
      </c>
      <c r="D154" s="277" t="s">
        <v>302</v>
      </c>
      <c r="E154" s="277" t="s">
        <v>15</v>
      </c>
      <c r="F154" s="282">
        <f>U70/O70-1</f>
        <v>-2.7231509124684639E-2</v>
      </c>
      <c r="G154" s="282">
        <f>R70/O70-1</f>
        <v>2.7231509124684639E-2</v>
      </c>
    </row>
    <row r="155" spans="3:7">
      <c r="D155" s="277" t="s">
        <v>302</v>
      </c>
      <c r="E155" s="277" t="s">
        <v>16</v>
      </c>
      <c r="F155" s="282">
        <f>U71/O71-1</f>
        <v>-5.1082885175744552E-2</v>
      </c>
      <c r="G155" s="282">
        <f>R71/O71-1</f>
        <v>5.1082885175744552E-2</v>
      </c>
    </row>
    <row r="156" spans="3:7">
      <c r="D156" s="277" t="s">
        <v>302</v>
      </c>
      <c r="E156" s="277" t="s">
        <v>17</v>
      </c>
      <c r="F156" s="282">
        <f>U72/O72-1</f>
        <v>-6.2517812261093764E-2</v>
      </c>
      <c r="G156" s="282">
        <f>R72/O72-1</f>
        <v>6.2517812261094097E-2</v>
      </c>
    </row>
    <row r="157" spans="3:7">
      <c r="F157" s="282"/>
      <c r="G157" s="282"/>
    </row>
    <row r="158" spans="3:7">
      <c r="C158" s="277">
        <v>7</v>
      </c>
      <c r="D158" s="277" t="s">
        <v>527</v>
      </c>
      <c r="E158" s="277" t="s">
        <v>15</v>
      </c>
      <c r="F158" s="282">
        <f>R75/O75-1</f>
        <v>-8.9651231684997001E-2</v>
      </c>
      <c r="G158" s="282">
        <f>U75/O75-1</f>
        <v>8.9651231684996446E-2</v>
      </c>
    </row>
    <row r="159" spans="3:7">
      <c r="D159" s="277" t="s">
        <v>527</v>
      </c>
      <c r="E159" s="277" t="s">
        <v>16</v>
      </c>
      <c r="F159" s="282">
        <f>R76/O76-1</f>
        <v>-6.0077531558764274E-2</v>
      </c>
      <c r="G159" s="282">
        <f>U76/O76-1</f>
        <v>6.0077531558764274E-2</v>
      </c>
    </row>
    <row r="160" spans="3:7">
      <c r="D160" s="277" t="s">
        <v>527</v>
      </c>
      <c r="E160" s="277" t="s">
        <v>17</v>
      </c>
      <c r="F160" s="282">
        <f>R77/O77-1</f>
        <v>-0.11110176349316547</v>
      </c>
      <c r="G160" s="282">
        <f>U77/O77-1</f>
        <v>0.11110176349316547</v>
      </c>
    </row>
    <row r="161" spans="3:7">
      <c r="F161" s="282"/>
      <c r="G161" s="282"/>
    </row>
    <row r="162" spans="3:7">
      <c r="C162" s="277">
        <v>8</v>
      </c>
      <c r="D162" s="277" t="s">
        <v>528</v>
      </c>
      <c r="E162" s="277" t="s">
        <v>15</v>
      </c>
      <c r="F162" s="282">
        <f>U80/O80-1</f>
        <v>-7.056618031473727E-3</v>
      </c>
      <c r="G162" s="282">
        <f>R80/O80-1</f>
        <v>7.056618031473727E-3</v>
      </c>
    </row>
    <row r="163" spans="3:7">
      <c r="D163" s="277" t="s">
        <v>528</v>
      </c>
      <c r="E163" s="277" t="s">
        <v>16</v>
      </c>
      <c r="F163" s="282">
        <f>U81/O81-1</f>
        <v>-3.8707912983888537E-3</v>
      </c>
      <c r="G163" s="282">
        <f>R81/O81-1</f>
        <v>3.8707912983890758E-3</v>
      </c>
    </row>
    <row r="164" spans="3:7">
      <c r="D164" s="277" t="s">
        <v>528</v>
      </c>
      <c r="E164" s="277" t="s">
        <v>17</v>
      </c>
      <c r="F164" s="282">
        <f>U82/O82-1</f>
        <v>-5.7032804127563619E-3</v>
      </c>
      <c r="G164" s="282">
        <f>R82/O82-1</f>
        <v>5.7032804127565839E-3</v>
      </c>
    </row>
    <row r="165" spans="3:7">
      <c r="F165" s="282"/>
      <c r="G165" s="282"/>
    </row>
    <row r="166" spans="3:7">
      <c r="C166" s="277">
        <v>9</v>
      </c>
      <c r="D166" s="277" t="s">
        <v>529</v>
      </c>
      <c r="E166" s="277" t="s">
        <v>15</v>
      </c>
      <c r="F166" s="282">
        <f>U85/O85-1</f>
        <v>-3.2003679993157452E-2</v>
      </c>
      <c r="G166" s="282">
        <f>R85/O85-1</f>
        <v>3.2003679993157119E-2</v>
      </c>
    </row>
    <row r="167" spans="3:7">
      <c r="D167" s="277" t="s">
        <v>529</v>
      </c>
      <c r="E167" s="277" t="s">
        <v>16</v>
      </c>
      <c r="F167" s="282">
        <f t="shared" ref="F167:F168" si="40">U86/O86-1</f>
        <v>-1.8479819552319143E-2</v>
      </c>
      <c r="G167" s="282">
        <f t="shared" ref="G167:G168" si="41">R86/O86-1</f>
        <v>1.8479819552319032E-2</v>
      </c>
    </row>
    <row r="168" spans="3:7">
      <c r="D168" s="277" t="s">
        <v>529</v>
      </c>
      <c r="E168" s="277" t="s">
        <v>17</v>
      </c>
      <c r="F168" s="282">
        <f t="shared" si="40"/>
        <v>-1.7386095149429348E-2</v>
      </c>
      <c r="G168" s="282">
        <f t="shared" si="41"/>
        <v>1.738609514942957E-2</v>
      </c>
    </row>
    <row r="169" spans="3:7">
      <c r="F169" s="282"/>
      <c r="G169" s="282"/>
    </row>
    <row r="170" spans="3:7">
      <c r="C170" s="277">
        <v>10</v>
      </c>
      <c r="D170" s="277" t="s">
        <v>530</v>
      </c>
      <c r="E170" s="277" t="s">
        <v>15</v>
      </c>
      <c r="F170" s="282">
        <f>U90/O90-1</f>
        <v>-2.1785207299748088E-2</v>
      </c>
      <c r="G170" s="282">
        <f>R90/O90-1</f>
        <v>2.1785207299747977E-2</v>
      </c>
    </row>
    <row r="171" spans="3:7">
      <c r="D171" s="277" t="s">
        <v>530</v>
      </c>
      <c r="E171" s="277" t="s">
        <v>16</v>
      </c>
      <c r="F171" s="282">
        <f>U91/O91-1</f>
        <v>-5.4362148051571357E-2</v>
      </c>
      <c r="G171" s="282">
        <f>R91/O91-1</f>
        <v>5.4362148051571024E-2</v>
      </c>
    </row>
    <row r="172" spans="3:7">
      <c r="D172" s="277" t="s">
        <v>530</v>
      </c>
      <c r="E172" s="277" t="s">
        <v>17</v>
      </c>
      <c r="F172" s="282">
        <f>U92/O92-1</f>
        <v>-5.0014249808874811E-2</v>
      </c>
      <c r="G172" s="282">
        <f>R92/O92-1</f>
        <v>5.0014249808874922E-2</v>
      </c>
    </row>
    <row r="173" spans="3:7">
      <c r="F173" s="283"/>
      <c r="G173" s="283"/>
    </row>
    <row r="174" spans="3:7">
      <c r="F174" s="283"/>
      <c r="G174" s="283"/>
    </row>
    <row r="175" spans="3:7">
      <c r="F175" s="283"/>
      <c r="G175" s="283"/>
    </row>
    <row r="176" spans="3:7">
      <c r="F176" s="283"/>
      <c r="G176" s="283"/>
    </row>
    <row r="177" spans="6:7">
      <c r="F177" s="283"/>
      <c r="G177" s="283"/>
    </row>
  </sheetData>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sheetPr codeName="Sheet16">
    <tabColor rgb="FFFFFF00"/>
  </sheetPr>
  <dimension ref="B2:S75"/>
  <sheetViews>
    <sheetView showGridLines="0" zoomScale="85" zoomScaleNormal="85" workbookViewId="0">
      <selection activeCell="G10" sqref="G10"/>
    </sheetView>
  </sheetViews>
  <sheetFormatPr defaultColWidth="9.140625" defaultRowHeight="12.75"/>
  <cols>
    <col min="1" max="2" width="9.140625" style="140"/>
    <col min="3" max="3" width="15.85546875" style="140" customWidth="1"/>
    <col min="4" max="4" width="36.5703125" style="140" customWidth="1"/>
    <col min="5" max="5" width="33" style="140" customWidth="1"/>
    <col min="6" max="6" width="16.5703125" style="140" customWidth="1"/>
    <col min="7" max="7" width="12.7109375" style="140" bestFit="1" customWidth="1"/>
    <col min="8" max="8" width="12.140625" style="140" customWidth="1"/>
    <col min="9" max="9" width="15" style="140" customWidth="1"/>
    <col min="10" max="18" width="9.140625" style="140"/>
    <col min="19" max="19" width="50.7109375" style="160" customWidth="1"/>
    <col min="20" max="16384" width="9.140625" style="140"/>
  </cols>
  <sheetData>
    <row r="2" spans="2:19">
      <c r="B2" s="140" t="s">
        <v>0</v>
      </c>
      <c r="D2" s="155" t="str">
        <f ca="1">MID(CELL("filename",A1),FIND("]",CELL("filename",A1))+1,256)</f>
        <v xml:space="preserve">Independent Mkt Size Inputs </v>
      </c>
      <c r="S2" s="140"/>
    </row>
    <row r="3" spans="2:19">
      <c r="B3" s="140" t="s">
        <v>1</v>
      </c>
      <c r="S3" s="140"/>
    </row>
    <row r="5" spans="2:19" s="156" customFormat="1">
      <c r="B5" s="156" t="s">
        <v>255</v>
      </c>
      <c r="D5" s="156" t="s">
        <v>19</v>
      </c>
      <c r="E5" s="156" t="s">
        <v>20</v>
      </c>
      <c r="H5" s="157"/>
      <c r="I5" s="157"/>
      <c r="L5" s="157" t="s">
        <v>163</v>
      </c>
      <c r="S5" s="157"/>
    </row>
    <row r="6" spans="2:19">
      <c r="H6" s="158"/>
      <c r="I6" s="158"/>
      <c r="J6" s="158"/>
      <c r="K6" s="158"/>
      <c r="L6" s="158"/>
      <c r="M6" s="158"/>
      <c r="N6" s="158"/>
      <c r="O6" s="158"/>
      <c r="P6" s="158"/>
      <c r="Q6" s="158"/>
      <c r="R6" s="158"/>
      <c r="S6" s="159"/>
    </row>
    <row r="7" spans="2:19">
      <c r="B7" s="155" t="s">
        <v>172</v>
      </c>
    </row>
    <row r="8" spans="2:19">
      <c r="C8" s="155"/>
    </row>
    <row r="9" spans="2:19">
      <c r="C9" s="155"/>
      <c r="D9" s="155" t="s">
        <v>162</v>
      </c>
    </row>
    <row r="10" spans="2:19">
      <c r="C10" s="155"/>
      <c r="D10" s="140" t="s">
        <v>228</v>
      </c>
      <c r="E10" s="140" t="s">
        <v>61</v>
      </c>
      <c r="G10" s="78">
        <v>287</v>
      </c>
      <c r="I10" s="160"/>
      <c r="J10" s="161"/>
      <c r="K10" s="162"/>
      <c r="L10" s="162"/>
      <c r="M10" s="162"/>
      <c r="N10" s="162"/>
      <c r="O10" s="162"/>
      <c r="P10" s="162"/>
      <c r="Q10" s="162"/>
    </row>
    <row r="11" spans="2:19">
      <c r="C11" s="155"/>
      <c r="D11" s="140" t="s">
        <v>229</v>
      </c>
      <c r="E11" s="140" t="s">
        <v>61</v>
      </c>
      <c r="G11" s="78">
        <v>10</v>
      </c>
      <c r="H11" s="162"/>
      <c r="I11" s="162"/>
      <c r="J11" s="162"/>
      <c r="K11" s="261"/>
      <c r="M11" s="162"/>
      <c r="N11" s="162"/>
      <c r="O11" s="162"/>
      <c r="P11" s="162"/>
      <c r="Q11" s="162"/>
    </row>
    <row r="12" spans="2:19">
      <c r="C12" s="155"/>
      <c r="D12" s="140" t="s">
        <v>230</v>
      </c>
      <c r="E12" s="140" t="s">
        <v>61</v>
      </c>
      <c r="G12" s="78">
        <v>4</v>
      </c>
      <c r="H12" s="162"/>
      <c r="I12" s="342"/>
      <c r="J12" s="162"/>
      <c r="K12" s="261"/>
      <c r="L12" s="162"/>
      <c r="M12" s="162"/>
      <c r="N12" s="162"/>
      <c r="O12" s="162"/>
      <c r="P12" s="162"/>
      <c r="Q12" s="162"/>
    </row>
    <row r="13" spans="2:19" s="277" customFormat="1">
      <c r="C13" s="257"/>
      <c r="D13" s="277" t="s">
        <v>367</v>
      </c>
      <c r="E13" s="277" t="s">
        <v>61</v>
      </c>
      <c r="G13" s="78">
        <v>5</v>
      </c>
      <c r="H13" s="261"/>
      <c r="I13" s="261"/>
      <c r="J13" s="261"/>
      <c r="K13" s="261"/>
      <c r="L13" s="261"/>
      <c r="M13" s="261"/>
      <c r="N13" s="261"/>
      <c r="O13" s="261"/>
      <c r="P13" s="261"/>
      <c r="Q13" s="261"/>
      <c r="S13" s="278"/>
    </row>
    <row r="14" spans="2:19" s="256" customFormat="1">
      <c r="C14" s="257"/>
      <c r="D14" s="256" t="s">
        <v>323</v>
      </c>
      <c r="E14" s="256" t="s">
        <v>61</v>
      </c>
      <c r="G14" s="424" t="s">
        <v>671</v>
      </c>
      <c r="H14" s="261"/>
      <c r="I14" s="301"/>
      <c r="J14" s="261"/>
      <c r="K14" s="261"/>
      <c r="L14" s="261"/>
      <c r="M14" s="261"/>
      <c r="N14" s="261"/>
      <c r="O14" s="261"/>
      <c r="P14" s="261"/>
      <c r="Q14" s="261"/>
      <c r="S14" s="258"/>
    </row>
    <row r="15" spans="2:19" s="256" customFormat="1">
      <c r="C15" s="257"/>
      <c r="D15" s="256" t="s">
        <v>324</v>
      </c>
      <c r="E15" s="256" t="s">
        <v>61</v>
      </c>
      <c r="G15" s="424" t="s">
        <v>671</v>
      </c>
      <c r="H15" s="261"/>
      <c r="I15" s="261"/>
      <c r="J15" s="261"/>
      <c r="K15" s="261"/>
      <c r="L15" s="261"/>
      <c r="M15" s="261"/>
      <c r="N15" s="261"/>
      <c r="O15" s="261"/>
      <c r="P15" s="261"/>
      <c r="Q15" s="261"/>
      <c r="S15" s="258"/>
    </row>
    <row r="16" spans="2:19">
      <c r="H16" s="163"/>
      <c r="I16" s="163"/>
      <c r="J16" s="163"/>
      <c r="K16" s="163"/>
      <c r="L16" s="163"/>
      <c r="M16" s="163"/>
      <c r="N16" s="163"/>
      <c r="O16" s="163"/>
      <c r="P16" s="163"/>
      <c r="Q16" s="163"/>
      <c r="S16" s="164"/>
    </row>
    <row r="17" spans="4:19" s="277" customFormat="1">
      <c r="D17" s="277" t="s">
        <v>494</v>
      </c>
      <c r="G17" s="115">
        <v>0.44</v>
      </c>
      <c r="H17" s="262"/>
      <c r="I17" s="262"/>
      <c r="J17" s="262"/>
      <c r="K17" s="262"/>
      <c r="L17" s="262" t="s">
        <v>638</v>
      </c>
      <c r="M17" s="262"/>
      <c r="N17" s="262"/>
      <c r="O17" s="262"/>
      <c r="P17" s="262"/>
      <c r="Q17" s="262"/>
      <c r="S17" s="263"/>
    </row>
    <row r="18" spans="4:19" s="277" customFormat="1">
      <c r="H18" s="262"/>
      <c r="I18" s="262"/>
      <c r="J18" s="262"/>
      <c r="K18" s="262"/>
      <c r="L18" s="262"/>
      <c r="M18" s="262"/>
      <c r="N18" s="262"/>
      <c r="O18" s="262"/>
      <c r="P18" s="262"/>
      <c r="Q18" s="262"/>
      <c r="S18" s="263"/>
    </row>
    <row r="19" spans="4:19">
      <c r="D19" s="155" t="s">
        <v>184</v>
      </c>
      <c r="H19" s="163"/>
      <c r="I19" s="163"/>
      <c r="J19" s="163"/>
      <c r="K19" s="163"/>
      <c r="L19" s="163"/>
      <c r="M19" s="163"/>
      <c r="N19" s="163"/>
      <c r="O19" s="163"/>
      <c r="P19" s="163"/>
      <c r="Q19" s="163"/>
      <c r="S19" s="164"/>
    </row>
    <row r="20" spans="4:19">
      <c r="D20" s="140" t="s">
        <v>181</v>
      </c>
      <c r="E20" s="140" t="s">
        <v>61</v>
      </c>
      <c r="G20" s="279">
        <f>F71</f>
        <v>19433000</v>
      </c>
      <c r="H20" s="163"/>
      <c r="I20" s="163"/>
      <c r="J20" s="163"/>
      <c r="K20" s="163"/>
      <c r="L20" s="262" t="s">
        <v>242</v>
      </c>
      <c r="M20" s="163"/>
      <c r="N20" s="163"/>
      <c r="O20" s="163"/>
      <c r="P20" s="163"/>
      <c r="Q20" s="163"/>
      <c r="S20" s="164"/>
    </row>
    <row r="21" spans="4:19">
      <c r="D21" s="140" t="s">
        <v>182</v>
      </c>
      <c r="E21" s="140" t="s">
        <v>61</v>
      </c>
      <c r="G21" s="279">
        <f>F75-G38</f>
        <v>14857000</v>
      </c>
      <c r="H21" s="163"/>
      <c r="I21" s="163"/>
      <c r="J21" s="163"/>
      <c r="K21" s="163"/>
      <c r="L21" s="163" t="s">
        <v>242</v>
      </c>
      <c r="M21" s="163"/>
      <c r="N21" s="163"/>
      <c r="O21" s="163"/>
      <c r="P21" s="163"/>
      <c r="Q21" s="163"/>
      <c r="S21" s="164"/>
    </row>
    <row r="22" spans="4:19">
      <c r="D22" s="140" t="s">
        <v>226</v>
      </c>
      <c r="E22" s="140" t="s">
        <v>61</v>
      </c>
      <c r="G22" s="78">
        <v>2830000</v>
      </c>
      <c r="H22" s="163"/>
      <c r="I22" s="163"/>
      <c r="J22" s="163"/>
      <c r="K22" s="163"/>
      <c r="L22" s="163" t="s">
        <v>240</v>
      </c>
      <c r="M22" s="163"/>
      <c r="N22" s="163"/>
      <c r="O22" s="163"/>
      <c r="P22" s="163"/>
      <c r="Q22" s="163"/>
      <c r="S22" s="164"/>
    </row>
    <row r="23" spans="4:19" s="277" customFormat="1">
      <c r="G23" s="279"/>
      <c r="H23" s="262"/>
      <c r="I23" s="262"/>
      <c r="J23" s="262"/>
      <c r="K23" s="262"/>
      <c r="L23" s="262"/>
      <c r="M23" s="262"/>
      <c r="N23" s="262"/>
      <c r="O23" s="262"/>
      <c r="P23" s="262"/>
      <c r="Q23" s="262"/>
      <c r="S23" s="263"/>
    </row>
    <row r="24" spans="4:19" s="277" customFormat="1">
      <c r="D24" s="257" t="s">
        <v>495</v>
      </c>
      <c r="G24" s="279"/>
      <c r="H24" s="262"/>
      <c r="I24" s="262"/>
      <c r="J24" s="262"/>
      <c r="K24" s="262"/>
      <c r="L24" s="262"/>
      <c r="M24" s="262"/>
      <c r="N24" s="262"/>
      <c r="O24" s="262"/>
      <c r="P24" s="262"/>
      <c r="Q24" s="262"/>
      <c r="S24" s="263"/>
    </row>
    <row r="25" spans="4:19" s="277" customFormat="1">
      <c r="D25" s="277" t="s">
        <v>496</v>
      </c>
      <c r="E25" s="277" t="s">
        <v>61</v>
      </c>
      <c r="G25" s="279">
        <f>G20-G27</f>
        <v>10882480</v>
      </c>
      <c r="H25" s="262"/>
      <c r="I25" s="262"/>
      <c r="J25" s="262"/>
      <c r="K25" s="262"/>
      <c r="L25" s="262"/>
      <c r="M25" s="262"/>
      <c r="N25" s="262"/>
      <c r="O25" s="262"/>
      <c r="P25" s="262"/>
      <c r="Q25" s="262"/>
      <c r="S25" s="263"/>
    </row>
    <row r="26" spans="4:19" s="277" customFormat="1">
      <c r="D26" s="277" t="s">
        <v>462</v>
      </c>
      <c r="E26" s="277" t="s">
        <v>61</v>
      </c>
      <c r="G26" s="279">
        <f>G21-G27</f>
        <v>6306480</v>
      </c>
      <c r="H26" s="262"/>
      <c r="I26" s="262"/>
      <c r="J26" s="262"/>
      <c r="K26" s="262"/>
      <c r="L26" s="262"/>
      <c r="M26" s="262"/>
      <c r="N26" s="262"/>
      <c r="O26" s="262"/>
      <c r="P26" s="262"/>
      <c r="Q26" s="262"/>
      <c r="S26" s="263"/>
    </row>
    <row r="27" spans="4:19" s="277" customFormat="1">
      <c r="D27" s="277" t="s">
        <v>493</v>
      </c>
      <c r="E27" s="277" t="s">
        <v>61</v>
      </c>
      <c r="G27" s="279">
        <f>G17*(G20)</f>
        <v>8550520</v>
      </c>
      <c r="H27" s="359"/>
      <c r="I27" s="262"/>
      <c r="J27" s="262"/>
      <c r="K27" s="262"/>
      <c r="L27" s="262"/>
      <c r="M27" s="262"/>
      <c r="N27" s="262"/>
      <c r="O27" s="262"/>
      <c r="P27" s="262"/>
      <c r="Q27" s="262"/>
      <c r="S27" s="263"/>
    </row>
    <row r="28" spans="4:19" s="277" customFormat="1">
      <c r="D28" s="277" t="s">
        <v>607</v>
      </c>
      <c r="E28" s="277" t="s">
        <v>61</v>
      </c>
      <c r="G28" s="279">
        <f>G22</f>
        <v>2830000</v>
      </c>
      <c r="H28" s="359"/>
      <c r="I28" s="262"/>
      <c r="J28" s="262"/>
      <c r="K28" s="262"/>
      <c r="L28" s="262"/>
      <c r="M28" s="262"/>
      <c r="N28" s="262"/>
      <c r="O28" s="262"/>
      <c r="P28" s="262"/>
      <c r="Q28" s="262"/>
      <c r="S28" s="263"/>
    </row>
    <row r="29" spans="4:19">
      <c r="H29" s="163"/>
      <c r="I29" s="163"/>
      <c r="J29" s="163"/>
      <c r="K29" s="163"/>
      <c r="L29" s="163"/>
      <c r="M29" s="163"/>
      <c r="N29" s="163"/>
      <c r="O29" s="163"/>
      <c r="P29" s="163"/>
      <c r="Q29" s="163"/>
      <c r="S29" s="164"/>
    </row>
    <row r="30" spans="4:19">
      <c r="D30" s="155" t="s">
        <v>185</v>
      </c>
      <c r="H30" s="163"/>
      <c r="I30" s="163"/>
      <c r="J30" s="163"/>
      <c r="K30" s="163"/>
      <c r="L30" s="163"/>
      <c r="M30" s="163"/>
      <c r="N30" s="163"/>
      <c r="O30" s="163"/>
      <c r="P30" s="163"/>
      <c r="Q30" s="163"/>
      <c r="S30" s="164"/>
    </row>
    <row r="31" spans="4:19">
      <c r="D31" s="140" t="s">
        <v>225</v>
      </c>
      <c r="E31" s="140" t="s">
        <v>58</v>
      </c>
      <c r="G31" s="115">
        <v>0.06</v>
      </c>
      <c r="H31" s="163"/>
      <c r="I31" s="163"/>
      <c r="J31" s="163"/>
      <c r="K31" s="163"/>
      <c r="L31" s="163" t="s">
        <v>183</v>
      </c>
      <c r="M31" s="163"/>
      <c r="N31" s="163"/>
      <c r="O31" s="163"/>
      <c r="P31" s="163"/>
      <c r="Q31" s="163"/>
      <c r="S31" s="164"/>
    </row>
    <row r="32" spans="4:19">
      <c r="D32" s="140" t="s">
        <v>182</v>
      </c>
      <c r="E32" s="140" t="s">
        <v>58</v>
      </c>
      <c r="G32" s="115">
        <v>0.06</v>
      </c>
      <c r="H32" s="163"/>
      <c r="I32" s="163"/>
      <c r="J32" s="163"/>
      <c r="K32" s="163"/>
      <c r="L32" s="163" t="s">
        <v>183</v>
      </c>
      <c r="M32" s="163"/>
      <c r="N32" s="163"/>
      <c r="O32" s="163"/>
      <c r="P32" s="163"/>
      <c r="Q32" s="163"/>
      <c r="S32" s="164"/>
    </row>
    <row r="33" spans="4:19" s="277" customFormat="1">
      <c r="D33" s="277" t="s">
        <v>493</v>
      </c>
      <c r="E33" s="277" t="s">
        <v>58</v>
      </c>
      <c r="G33" s="115">
        <v>0.09</v>
      </c>
      <c r="H33" s="262"/>
      <c r="I33" s="262"/>
      <c r="J33" s="262"/>
      <c r="K33" s="262"/>
      <c r="L33" s="262" t="s">
        <v>183</v>
      </c>
      <c r="M33" s="262"/>
      <c r="N33" s="262"/>
      <c r="O33" s="262"/>
      <c r="P33" s="262"/>
      <c r="Q33" s="262"/>
      <c r="S33" s="263"/>
    </row>
    <row r="34" spans="4:19">
      <c r="D34" s="140" t="s">
        <v>239</v>
      </c>
      <c r="E34" s="140" t="s">
        <v>58</v>
      </c>
      <c r="G34" s="115">
        <v>0.06</v>
      </c>
      <c r="H34" s="163"/>
      <c r="I34" s="163"/>
      <c r="J34" s="163"/>
      <c r="K34" s="163"/>
      <c r="L34" s="262" t="s">
        <v>241</v>
      </c>
      <c r="M34" s="163"/>
      <c r="N34" s="163"/>
      <c r="O34" s="163"/>
      <c r="P34" s="163"/>
      <c r="Q34" s="163"/>
      <c r="S34" s="164"/>
    </row>
    <row r="35" spans="4:19" s="277" customFormat="1">
      <c r="G35" s="356"/>
      <c r="H35" s="262"/>
      <c r="I35" s="262"/>
      <c r="J35" s="262"/>
      <c r="K35" s="262"/>
      <c r="L35" s="262"/>
      <c r="M35" s="262"/>
      <c r="N35" s="262"/>
      <c r="O35" s="262"/>
      <c r="P35" s="262"/>
      <c r="Q35" s="262"/>
      <c r="S35" s="263"/>
    </row>
    <row r="36" spans="4:19" s="277" customFormat="1">
      <c r="D36" s="257" t="s">
        <v>611</v>
      </c>
      <c r="G36" s="356"/>
      <c r="H36" s="262"/>
      <c r="I36" s="262"/>
      <c r="J36" s="262"/>
      <c r="K36" s="262"/>
      <c r="L36" s="262"/>
      <c r="M36" s="262"/>
      <c r="N36" s="262"/>
      <c r="O36" s="262"/>
      <c r="P36" s="262"/>
      <c r="Q36" s="262"/>
      <c r="S36" s="263"/>
    </row>
    <row r="37" spans="4:19" s="277" customFormat="1">
      <c r="D37" s="277" t="s">
        <v>181</v>
      </c>
      <c r="E37" s="277" t="s">
        <v>61</v>
      </c>
      <c r="G37" s="368">
        <v>673000</v>
      </c>
      <c r="H37" s="262"/>
      <c r="I37" s="262"/>
      <c r="J37" s="262"/>
      <c r="K37" s="262"/>
      <c r="L37" s="262" t="s">
        <v>242</v>
      </c>
      <c r="M37" s="262"/>
      <c r="N37" s="262"/>
      <c r="O37" s="262"/>
      <c r="P37" s="262"/>
      <c r="Q37" s="262"/>
      <c r="S37" s="263"/>
    </row>
    <row r="38" spans="4:19" s="277" customFormat="1">
      <c r="D38" s="277" t="s">
        <v>182</v>
      </c>
      <c r="E38" s="277" t="s">
        <v>61</v>
      </c>
      <c r="G38" s="368">
        <v>583000</v>
      </c>
      <c r="H38" s="262"/>
      <c r="I38" s="262"/>
      <c r="J38" s="262"/>
      <c r="K38" s="262"/>
      <c r="L38" s="262" t="s">
        <v>242</v>
      </c>
      <c r="M38" s="262"/>
      <c r="N38" s="262"/>
      <c r="O38" s="262"/>
      <c r="P38" s="262"/>
      <c r="Q38" s="262"/>
      <c r="S38" s="263"/>
    </row>
    <row r="39" spans="4:19" s="277" customFormat="1">
      <c r="D39" s="277" t="s">
        <v>608</v>
      </c>
      <c r="E39" s="277" t="s">
        <v>61</v>
      </c>
      <c r="G39" s="357">
        <f>G37*G17</f>
        <v>296120</v>
      </c>
      <c r="H39" s="262"/>
      <c r="I39" s="262"/>
      <c r="J39" s="262"/>
      <c r="K39" s="262"/>
      <c r="L39" s="262" t="s">
        <v>613</v>
      </c>
      <c r="M39" s="262"/>
      <c r="N39" s="262"/>
      <c r="O39" s="262"/>
      <c r="P39" s="262"/>
      <c r="Q39" s="262"/>
      <c r="S39" s="263"/>
    </row>
    <row r="40" spans="4:19" s="277" customFormat="1">
      <c r="D40" s="277" t="s">
        <v>496</v>
      </c>
      <c r="E40" s="277" t="s">
        <v>61</v>
      </c>
      <c r="G40" s="357">
        <f>G37-G39</f>
        <v>376880</v>
      </c>
      <c r="H40" s="262"/>
      <c r="I40" s="262"/>
      <c r="J40" s="262"/>
      <c r="K40" s="262"/>
      <c r="L40" s="262"/>
      <c r="M40" s="262"/>
      <c r="N40" s="262"/>
      <c r="O40" s="262"/>
      <c r="P40" s="262"/>
      <c r="Q40" s="262"/>
      <c r="S40" s="263"/>
    </row>
    <row r="41" spans="4:19" s="277" customFormat="1">
      <c r="D41" s="277" t="s">
        <v>462</v>
      </c>
      <c r="E41" s="277" t="s">
        <v>61</v>
      </c>
      <c r="G41" s="357">
        <f>G38-G39</f>
        <v>286880</v>
      </c>
      <c r="H41" s="262"/>
      <c r="I41" s="262"/>
      <c r="J41" s="262"/>
      <c r="K41" s="262"/>
      <c r="L41" s="262"/>
      <c r="M41" s="262"/>
      <c r="N41" s="262"/>
      <c r="O41" s="262"/>
      <c r="P41" s="262"/>
      <c r="Q41" s="262"/>
      <c r="S41" s="263"/>
    </row>
    <row r="42" spans="4:19" s="277" customFormat="1">
      <c r="G42" s="357"/>
      <c r="H42" s="262"/>
      <c r="I42" s="262"/>
      <c r="J42" s="262"/>
      <c r="K42" s="262"/>
      <c r="L42" s="262"/>
      <c r="M42" s="262"/>
      <c r="N42" s="262"/>
      <c r="O42" s="262"/>
      <c r="P42" s="262"/>
      <c r="Q42" s="262"/>
      <c r="S42" s="263"/>
    </row>
    <row r="43" spans="4:19" s="277" customFormat="1">
      <c r="D43" s="257" t="s">
        <v>616</v>
      </c>
      <c r="G43" s="357"/>
      <c r="H43" s="262"/>
      <c r="I43" s="262"/>
      <c r="J43" s="262"/>
      <c r="K43" s="262"/>
      <c r="L43" s="262"/>
      <c r="M43" s="262"/>
      <c r="N43" s="262"/>
      <c r="O43" s="262"/>
      <c r="P43" s="262"/>
      <c r="Q43" s="262"/>
      <c r="S43" s="263"/>
    </row>
    <row r="44" spans="4:19" s="277" customFormat="1">
      <c r="D44" s="277" t="s">
        <v>563</v>
      </c>
      <c r="E44" s="277" t="s">
        <v>58</v>
      </c>
      <c r="G44" s="115">
        <v>0.11</v>
      </c>
      <c r="H44" s="262"/>
      <c r="I44" s="262"/>
      <c r="J44" s="262"/>
      <c r="K44" s="262"/>
      <c r="L44" s="262" t="s">
        <v>183</v>
      </c>
      <c r="M44" s="262"/>
      <c r="N44" s="262"/>
      <c r="O44" s="262"/>
      <c r="P44" s="262"/>
      <c r="Q44" s="262"/>
      <c r="S44" s="263"/>
    </row>
    <row r="45" spans="4:19" s="277" customFormat="1">
      <c r="D45" s="277" t="s">
        <v>609</v>
      </c>
      <c r="E45" s="277" t="s">
        <v>58</v>
      </c>
      <c r="G45" s="115">
        <v>0.08</v>
      </c>
      <c r="H45" s="262"/>
      <c r="I45" s="262"/>
      <c r="J45" s="262"/>
      <c r="K45" s="262"/>
      <c r="L45" s="262" t="s">
        <v>183</v>
      </c>
      <c r="M45" s="262"/>
      <c r="N45" s="262"/>
      <c r="O45" s="262"/>
      <c r="P45" s="262"/>
      <c r="Q45" s="262"/>
      <c r="S45" s="263"/>
    </row>
    <row r="46" spans="4:19" s="277" customFormat="1">
      <c r="D46" s="277" t="s">
        <v>610</v>
      </c>
      <c r="E46" s="277" t="s">
        <v>58</v>
      </c>
      <c r="G46" s="115">
        <v>0.09</v>
      </c>
      <c r="H46" s="262"/>
      <c r="I46" s="262"/>
      <c r="J46" s="262"/>
      <c r="K46" s="262"/>
      <c r="L46" s="262" t="s">
        <v>614</v>
      </c>
      <c r="M46" s="262"/>
      <c r="N46" s="262"/>
      <c r="O46" s="262"/>
      <c r="P46" s="262"/>
      <c r="Q46" s="262"/>
      <c r="S46" s="263"/>
    </row>
    <row r="47" spans="4:19" s="277" customFormat="1">
      <c r="H47" s="262"/>
      <c r="I47" s="262"/>
      <c r="J47" s="262"/>
      <c r="K47" s="262"/>
      <c r="L47" s="262"/>
      <c r="M47" s="262"/>
      <c r="N47" s="262"/>
      <c r="O47" s="262"/>
      <c r="P47" s="262"/>
      <c r="Q47" s="262"/>
      <c r="S47" s="263"/>
    </row>
    <row r="48" spans="4:19" s="277" customFormat="1">
      <c r="D48" s="257" t="s">
        <v>615</v>
      </c>
      <c r="H48" s="262"/>
      <c r="I48" s="262"/>
      <c r="J48" s="262"/>
      <c r="K48" s="262"/>
      <c r="L48" s="262"/>
      <c r="M48" s="262"/>
      <c r="N48" s="262"/>
      <c r="O48" s="262"/>
      <c r="P48" s="262"/>
      <c r="Q48" s="262"/>
      <c r="S48" s="263"/>
    </row>
    <row r="49" spans="4:19" s="277" customFormat="1">
      <c r="D49" s="277" t="s">
        <v>565</v>
      </c>
      <c r="E49" s="277" t="s">
        <v>61</v>
      </c>
      <c r="G49" s="279">
        <f>SUM(G25:G28,G39:G41)</f>
        <v>29529360</v>
      </c>
      <c r="H49" s="262"/>
      <c r="I49" s="262"/>
      <c r="J49" s="262"/>
      <c r="K49" s="262"/>
      <c r="L49" s="262"/>
      <c r="M49" s="262"/>
      <c r="N49" s="262"/>
      <c r="O49" s="262"/>
      <c r="P49" s="262"/>
      <c r="Q49" s="262"/>
      <c r="S49" s="263"/>
    </row>
    <row r="50" spans="4:19">
      <c r="H50" s="163"/>
      <c r="I50" s="163"/>
      <c r="J50" s="163"/>
      <c r="K50" s="163"/>
      <c r="L50" s="163"/>
      <c r="M50" s="163"/>
      <c r="N50" s="163"/>
      <c r="O50" s="163"/>
      <c r="P50" s="163"/>
      <c r="Q50" s="163"/>
      <c r="S50" s="164"/>
    </row>
    <row r="51" spans="4:19">
      <c r="D51" s="155" t="s">
        <v>180</v>
      </c>
      <c r="H51" s="163"/>
      <c r="I51" s="163"/>
      <c r="J51" s="163"/>
      <c r="K51" s="163"/>
      <c r="L51" s="163"/>
      <c r="M51" s="163"/>
      <c r="N51" s="163"/>
      <c r="O51" s="163"/>
      <c r="P51" s="163"/>
      <c r="Q51" s="163"/>
      <c r="S51" s="164"/>
    </row>
    <row r="52" spans="4:19">
      <c r="D52" s="140" t="s">
        <v>492</v>
      </c>
      <c r="E52" s="140" t="s">
        <v>61</v>
      </c>
      <c r="G52" s="139">
        <f>(G25*G31)+(G37*G44)</f>
        <v>726978.79999999993</v>
      </c>
      <c r="J52" s="163"/>
      <c r="K52" s="163"/>
      <c r="L52" s="163" t="s">
        <v>183</v>
      </c>
      <c r="M52" s="163"/>
      <c r="N52" s="163"/>
      <c r="O52" s="163"/>
      <c r="P52" s="163"/>
      <c r="Q52" s="163"/>
      <c r="S52" s="164"/>
    </row>
    <row r="53" spans="4:19">
      <c r="D53" s="140" t="s">
        <v>462</v>
      </c>
      <c r="E53" s="140" t="s">
        <v>61</v>
      </c>
      <c r="G53" s="279">
        <f>G26*G32+(G38*G45)</f>
        <v>425028.8</v>
      </c>
      <c r="J53" s="163"/>
      <c r="K53" s="163"/>
      <c r="L53" s="163" t="s">
        <v>183</v>
      </c>
      <c r="M53" s="163"/>
      <c r="N53" s="163"/>
      <c r="O53" s="163"/>
      <c r="P53" s="163"/>
      <c r="Q53" s="163"/>
      <c r="S53" s="164"/>
    </row>
    <row r="54" spans="4:19" s="277" customFormat="1">
      <c r="D54" s="277" t="s">
        <v>493</v>
      </c>
      <c r="E54" s="277" t="s">
        <v>61</v>
      </c>
      <c r="G54" s="279">
        <f>(G27*G33)+(G46*G39)</f>
        <v>796197.6</v>
      </c>
      <c r="H54" s="262"/>
      <c r="I54" s="262"/>
      <c r="J54" s="262"/>
      <c r="K54" s="262"/>
      <c r="L54" s="262"/>
      <c r="M54" s="262"/>
      <c r="N54" s="262"/>
      <c r="O54" s="262"/>
      <c r="P54" s="262"/>
      <c r="Q54" s="262"/>
      <c r="S54" s="263"/>
    </row>
    <row r="55" spans="4:19">
      <c r="D55" s="140" t="s">
        <v>239</v>
      </c>
      <c r="E55" s="140" t="s">
        <v>61</v>
      </c>
      <c r="G55" s="139">
        <f>G22*G34</f>
        <v>169800</v>
      </c>
      <c r="H55" s="163"/>
      <c r="I55" s="163"/>
      <c r="J55" s="163"/>
      <c r="K55" s="163"/>
      <c r="L55" s="262" t="s">
        <v>456</v>
      </c>
      <c r="M55" s="163"/>
      <c r="N55" s="163"/>
      <c r="O55" s="163"/>
      <c r="P55" s="163"/>
      <c r="Q55" s="163"/>
      <c r="S55" s="164"/>
    </row>
    <row r="56" spans="4:19">
      <c r="D56" s="140" t="s">
        <v>636</v>
      </c>
      <c r="E56" s="140" t="s">
        <v>61</v>
      </c>
      <c r="G56" s="369">
        <f>SUM(G52:G55)</f>
        <v>2118005.1999999997</v>
      </c>
      <c r="I56" s="163"/>
      <c r="J56" s="163"/>
      <c r="K56" s="163"/>
      <c r="L56" s="163" t="s">
        <v>617</v>
      </c>
      <c r="M56" s="163"/>
      <c r="N56" s="163"/>
      <c r="O56" s="163"/>
      <c r="P56" s="163"/>
      <c r="Q56" s="163"/>
      <c r="S56" s="164"/>
    </row>
    <row r="57" spans="4:19" s="277" customFormat="1">
      <c r="D57" s="277" t="s">
        <v>637</v>
      </c>
      <c r="E57" s="277" t="s">
        <v>61</v>
      </c>
      <c r="G57" s="373">
        <f>SUM(G10*'Independent Cost Inputs'!H47,G11*'Independent Cost Inputs'!I47,G12*'Independent Cost Inputs'!J47)*G59</f>
        <v>2101912.8889349443</v>
      </c>
      <c r="H57" s="262"/>
      <c r="I57" s="262"/>
      <c r="J57" s="262"/>
      <c r="K57" s="262"/>
      <c r="L57" s="262" t="s">
        <v>635</v>
      </c>
      <c r="M57" s="262"/>
      <c r="N57" s="262"/>
      <c r="O57" s="262"/>
      <c r="P57" s="262"/>
      <c r="Q57" s="262"/>
      <c r="S57" s="263"/>
    </row>
    <row r="58" spans="4:19" s="277" customFormat="1">
      <c r="H58" s="262"/>
      <c r="I58" s="262"/>
      <c r="J58" s="262"/>
      <c r="K58" s="262"/>
      <c r="L58" s="262"/>
      <c r="M58" s="262"/>
      <c r="N58" s="262"/>
      <c r="O58" s="262"/>
      <c r="P58" s="262"/>
      <c r="Q58" s="262"/>
      <c r="S58" s="263"/>
    </row>
    <row r="59" spans="4:19" s="277" customFormat="1">
      <c r="D59" s="277" t="s">
        <v>570</v>
      </c>
      <c r="G59" s="358">
        <f>G56/G49</f>
        <v>7.1725401430982577E-2</v>
      </c>
      <c r="H59" s="262"/>
      <c r="I59" s="262"/>
      <c r="J59" s="262"/>
      <c r="K59" s="262"/>
      <c r="L59" s="262" t="s">
        <v>572</v>
      </c>
      <c r="M59" s="262"/>
      <c r="N59" s="262"/>
      <c r="O59" s="262"/>
      <c r="P59" s="262"/>
      <c r="Q59" s="262"/>
      <c r="S59" s="263"/>
    </row>
    <row r="60" spans="4:19" s="277" customFormat="1">
      <c r="G60" s="279"/>
      <c r="H60" s="262"/>
      <c r="I60" s="262"/>
      <c r="J60" s="262"/>
      <c r="K60" s="262"/>
      <c r="L60" s="262"/>
      <c r="M60" s="262"/>
      <c r="N60" s="262"/>
      <c r="O60" s="262"/>
      <c r="P60" s="262"/>
      <c r="Q60" s="262"/>
      <c r="S60" s="263"/>
    </row>
    <row r="61" spans="4:19" s="277" customFormat="1">
      <c r="D61" s="257" t="s">
        <v>569</v>
      </c>
      <c r="H61" s="262"/>
      <c r="I61" s="262"/>
      <c r="J61" s="262"/>
      <c r="K61" s="262"/>
      <c r="L61" s="262"/>
      <c r="M61" s="262"/>
      <c r="N61" s="262"/>
      <c r="O61" s="262"/>
      <c r="P61" s="262"/>
      <c r="Q61" s="262"/>
      <c r="S61" s="263"/>
    </row>
    <row r="62" spans="4:19" s="277" customFormat="1">
      <c r="D62" s="277" t="s">
        <v>181</v>
      </c>
      <c r="G62" s="359">
        <v>34000</v>
      </c>
      <c r="H62" s="262"/>
      <c r="I62" s="262"/>
      <c r="J62" s="262"/>
      <c r="K62" s="262"/>
      <c r="L62" s="262" t="s">
        <v>242</v>
      </c>
      <c r="M62" s="262"/>
      <c r="N62" s="262"/>
      <c r="O62" s="262"/>
      <c r="P62" s="262"/>
      <c r="Q62" s="262"/>
      <c r="S62" s="263"/>
    </row>
    <row r="63" spans="4:19" s="277" customFormat="1">
      <c r="D63" s="277" t="s">
        <v>182</v>
      </c>
      <c r="G63" s="359">
        <v>16000</v>
      </c>
      <c r="H63" s="262"/>
      <c r="I63" s="262"/>
      <c r="J63" s="262"/>
      <c r="K63" s="262"/>
      <c r="L63" s="262" t="s">
        <v>242</v>
      </c>
      <c r="M63" s="262"/>
      <c r="N63" s="262"/>
      <c r="O63" s="262"/>
      <c r="P63" s="262"/>
      <c r="Q63" s="262"/>
      <c r="S63" s="263"/>
    </row>
    <row r="64" spans="4:19" s="277" customFormat="1">
      <c r="D64" s="277" t="s">
        <v>571</v>
      </c>
      <c r="G64" s="328">
        <f>SUM(G62:G63)/G57</f>
        <v>2.3787855464046083E-2</v>
      </c>
      <c r="H64" s="262"/>
      <c r="I64" s="262"/>
      <c r="J64" s="262"/>
      <c r="K64" s="262"/>
      <c r="L64" s="262"/>
      <c r="M64" s="262"/>
      <c r="N64" s="262"/>
      <c r="O64" s="262"/>
      <c r="P64" s="262"/>
      <c r="Q64" s="262"/>
      <c r="S64" s="263"/>
    </row>
    <row r="65" spans="2:19" s="277" customFormat="1">
      <c r="G65" s="328"/>
      <c r="H65" s="262"/>
      <c r="I65" s="262"/>
      <c r="J65" s="262"/>
      <c r="K65" s="262"/>
      <c r="L65" s="262"/>
      <c r="M65" s="262"/>
      <c r="N65" s="262"/>
      <c r="O65" s="262"/>
      <c r="P65" s="262"/>
      <c r="Q65" s="262"/>
      <c r="S65" s="263"/>
    </row>
    <row r="67" spans="2:19" s="259" customFormat="1">
      <c r="B67" s="259" t="s">
        <v>481</v>
      </c>
      <c r="D67" s="259" t="s">
        <v>19</v>
      </c>
      <c r="E67" s="259" t="s">
        <v>20</v>
      </c>
      <c r="H67" s="260"/>
      <c r="I67" s="260"/>
      <c r="L67" s="260" t="s">
        <v>163</v>
      </c>
      <c r="S67" s="260"/>
    </row>
    <row r="69" spans="2:19">
      <c r="D69" s="140" t="s">
        <v>482</v>
      </c>
      <c r="E69" s="140" t="s">
        <v>61</v>
      </c>
      <c r="F69" s="332">
        <v>23746000</v>
      </c>
      <c r="L69" s="140" t="s">
        <v>687</v>
      </c>
    </row>
    <row r="70" spans="2:19">
      <c r="D70" s="140" t="s">
        <v>483</v>
      </c>
      <c r="E70" s="140" t="s">
        <v>61</v>
      </c>
      <c r="F70" s="332">
        <v>4313000</v>
      </c>
      <c r="L70" s="277" t="s">
        <v>687</v>
      </c>
    </row>
    <row r="71" spans="2:19" s="277" customFormat="1">
      <c r="D71" s="277" t="s">
        <v>484</v>
      </c>
      <c r="E71" s="277" t="s">
        <v>61</v>
      </c>
      <c r="F71" s="286">
        <f>F69-F70</f>
        <v>19433000</v>
      </c>
      <c r="S71" s="278"/>
    </row>
    <row r="73" spans="2:19">
      <c r="D73" s="140" t="s">
        <v>485</v>
      </c>
      <c r="E73" s="140" t="s">
        <v>61</v>
      </c>
      <c r="F73" s="332">
        <v>19468000</v>
      </c>
      <c r="L73" s="277" t="s">
        <v>688</v>
      </c>
    </row>
    <row r="74" spans="2:19">
      <c r="D74" s="140" t="s">
        <v>486</v>
      </c>
      <c r="E74" s="140" t="s">
        <v>61</v>
      </c>
      <c r="F74" s="332">
        <v>4028000</v>
      </c>
      <c r="L74" s="277" t="s">
        <v>688</v>
      </c>
    </row>
    <row r="75" spans="2:19">
      <c r="D75" s="140" t="s">
        <v>487</v>
      </c>
      <c r="F75" s="279">
        <f>F73-F74</f>
        <v>15440000</v>
      </c>
    </row>
  </sheetData>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sheetPr codeName="Sheet35">
    <tabColor rgb="FFFFFF00"/>
  </sheetPr>
  <dimension ref="A2:R40"/>
  <sheetViews>
    <sheetView showGridLines="0" topLeftCell="A52" zoomScale="85" zoomScaleNormal="85" workbookViewId="0">
      <selection activeCell="F24" sqref="F24"/>
    </sheetView>
  </sheetViews>
  <sheetFormatPr defaultColWidth="9.140625" defaultRowHeight="12.75"/>
  <cols>
    <col min="1" max="3" width="9.140625" style="277"/>
    <col min="4" max="4" width="23" style="277" customWidth="1"/>
    <col min="5" max="5" width="15.7109375" style="277" customWidth="1"/>
    <col min="6" max="17" width="9.140625" style="277"/>
    <col min="18" max="18" width="50.7109375" style="278" customWidth="1"/>
    <col min="19" max="16384" width="9.140625" style="277"/>
  </cols>
  <sheetData>
    <row r="2" spans="2:18">
      <c r="B2" s="277" t="s">
        <v>0</v>
      </c>
      <c r="D2" s="257" t="str">
        <f ca="1">MID(CELL("filename",A1),FIND("]",CELL("filename",A1))+1,256)</f>
        <v>Scenarios</v>
      </c>
      <c r="R2" s="277"/>
    </row>
    <row r="3" spans="2:18">
      <c r="B3" s="277" t="s">
        <v>1</v>
      </c>
      <c r="D3" s="277" t="s">
        <v>559</v>
      </c>
      <c r="R3" s="277"/>
    </row>
    <row r="4" spans="2:18">
      <c r="B4" s="277" t="s">
        <v>640</v>
      </c>
      <c r="D4" s="415" t="s">
        <v>639</v>
      </c>
    </row>
    <row r="5" spans="2:18" s="259" customFormat="1">
      <c r="B5" s="259" t="s">
        <v>442</v>
      </c>
      <c r="D5" s="259" t="s">
        <v>19</v>
      </c>
      <c r="E5" s="259" t="s">
        <v>20</v>
      </c>
      <c r="F5" s="259" t="s">
        <v>499</v>
      </c>
      <c r="G5" s="259" t="s">
        <v>500</v>
      </c>
      <c r="O5" s="260" t="s">
        <v>161</v>
      </c>
      <c r="R5" s="260"/>
    </row>
    <row r="6" spans="2:18">
      <c r="G6" s="289"/>
      <c r="H6" s="289"/>
      <c r="I6" s="289"/>
      <c r="J6" s="289"/>
      <c r="K6" s="289"/>
      <c r="L6" s="289"/>
      <c r="M6" s="289"/>
      <c r="N6" s="289"/>
      <c r="O6" s="289"/>
      <c r="P6" s="349"/>
      <c r="Q6" s="349"/>
      <c r="R6" s="348"/>
    </row>
    <row r="7" spans="2:18">
      <c r="D7" s="257" t="s">
        <v>540</v>
      </c>
      <c r="G7" s="289"/>
      <c r="H7" s="289"/>
      <c r="I7" s="289"/>
      <c r="J7" s="289"/>
      <c r="K7" s="289"/>
      <c r="L7" s="289"/>
      <c r="M7" s="289"/>
      <c r="N7" s="289"/>
      <c r="O7" s="289"/>
    </row>
    <row r="8" spans="2:18">
      <c r="B8" s="257"/>
      <c r="C8" s="277">
        <v>1</v>
      </c>
      <c r="D8" s="277" t="s">
        <v>544</v>
      </c>
      <c r="E8" s="277" t="s">
        <v>76</v>
      </c>
      <c r="F8" s="269">
        <f>((F9)*('Independent Cost Inputs'!AR16+'Independent Cost Inputs'!AR16))+((1-F9)*'Independent Cost Inputs'!AR16)</f>
        <v>15.360000000000001</v>
      </c>
      <c r="O8" s="277" t="s">
        <v>545</v>
      </c>
    </row>
    <row r="9" spans="2:18">
      <c r="C9" s="257"/>
      <c r="D9" s="277" t="s">
        <v>541</v>
      </c>
      <c r="F9" s="344">
        <v>0.28000000000000003</v>
      </c>
    </row>
    <row r="10" spans="2:18">
      <c r="C10" s="257"/>
      <c r="D10" s="277" t="s">
        <v>548</v>
      </c>
      <c r="E10" s="277" t="s">
        <v>76</v>
      </c>
      <c r="F10" s="344">
        <v>12</v>
      </c>
      <c r="P10" s="261"/>
    </row>
    <row r="11" spans="2:18">
      <c r="C11" s="257"/>
      <c r="D11" s="277" t="s">
        <v>546</v>
      </c>
      <c r="E11" s="277" t="s">
        <v>549</v>
      </c>
      <c r="F11" s="277">
        <f>Graphs!I14</f>
        <v>43</v>
      </c>
      <c r="G11" s="277">
        <f>Graphs!I16</f>
        <v>65</v>
      </c>
      <c r="P11" s="261"/>
    </row>
    <row r="12" spans="2:18">
      <c r="C12" s="257"/>
      <c r="D12" s="277" t="s">
        <v>547</v>
      </c>
      <c r="E12" s="277" t="s">
        <v>549</v>
      </c>
      <c r="F12" s="277">
        <v>53</v>
      </c>
      <c r="G12" s="345">
        <v>82</v>
      </c>
      <c r="H12" s="232"/>
      <c r="I12" s="232"/>
      <c r="J12" s="261"/>
      <c r="K12" s="261"/>
      <c r="L12" s="261"/>
      <c r="M12" s="261"/>
      <c r="N12" s="261"/>
      <c r="O12" s="261"/>
      <c r="P12" s="261"/>
    </row>
    <row r="13" spans="2:18">
      <c r="C13" s="257"/>
      <c r="F13" s="269"/>
      <c r="G13" s="322"/>
      <c r="H13" s="261"/>
      <c r="I13" s="261"/>
      <c r="J13" s="261"/>
      <c r="K13" s="261"/>
      <c r="L13" s="261"/>
      <c r="M13" s="261"/>
      <c r="N13" s="261"/>
      <c r="O13" s="261"/>
      <c r="P13" s="261"/>
    </row>
    <row r="14" spans="2:18">
      <c r="C14" s="447"/>
      <c r="D14" s="447"/>
      <c r="E14" s="374"/>
      <c r="F14" s="375"/>
      <c r="G14" s="322"/>
      <c r="H14" s="374"/>
      <c r="I14" s="374"/>
      <c r="J14" s="374"/>
      <c r="K14" s="261"/>
      <c r="L14" s="261"/>
      <c r="M14" s="261"/>
      <c r="N14" s="261"/>
      <c r="O14" s="261"/>
      <c r="P14" s="262"/>
      <c r="R14" s="263"/>
    </row>
    <row r="15" spans="2:18">
      <c r="C15" s="374"/>
      <c r="D15" s="374"/>
      <c r="E15" s="374"/>
      <c r="F15" s="448"/>
      <c r="G15" s="322"/>
      <c r="H15" s="374"/>
      <c r="I15" s="374"/>
      <c r="J15" s="374"/>
      <c r="K15" s="261"/>
      <c r="L15" s="261"/>
      <c r="M15" s="261"/>
      <c r="N15" s="261"/>
      <c r="O15" s="261"/>
      <c r="P15" s="264"/>
    </row>
    <row r="16" spans="2:18" s="265" customFormat="1">
      <c r="B16" s="277"/>
      <c r="C16" s="447"/>
      <c r="D16" s="374"/>
      <c r="E16" s="374"/>
      <c r="F16" s="378"/>
      <c r="G16" s="374"/>
      <c r="H16" s="374"/>
      <c r="I16" s="374"/>
      <c r="J16" s="374"/>
      <c r="K16" s="261"/>
      <c r="L16" s="261"/>
      <c r="M16" s="261"/>
      <c r="N16" s="261"/>
      <c r="O16" s="261"/>
      <c r="P16" s="264"/>
      <c r="Q16" s="277"/>
      <c r="R16" s="278"/>
    </row>
    <row r="17" spans="1:16">
      <c r="A17" s="347"/>
      <c r="C17" s="447"/>
      <c r="D17" s="374"/>
      <c r="E17" s="374"/>
      <c r="F17" s="379"/>
      <c r="G17" s="374"/>
      <c r="H17" s="374"/>
      <c r="I17" s="374"/>
      <c r="J17" s="374"/>
      <c r="K17" s="261"/>
      <c r="L17" s="261"/>
      <c r="M17" s="261"/>
      <c r="N17" s="261"/>
      <c r="O17" s="261"/>
      <c r="P17" s="266"/>
    </row>
    <row r="18" spans="1:16">
      <c r="A18" s="347"/>
      <c r="C18" s="447"/>
      <c r="D18" s="374"/>
      <c r="E18" s="374"/>
      <c r="F18" s="376"/>
      <c r="G18" s="374"/>
      <c r="H18" s="374"/>
      <c r="I18" s="374"/>
      <c r="J18" s="374"/>
      <c r="K18" s="261"/>
      <c r="L18" s="261"/>
      <c r="M18" s="261"/>
      <c r="N18" s="261"/>
      <c r="O18" s="261"/>
      <c r="P18" s="267"/>
    </row>
    <row r="19" spans="1:16">
      <c r="A19" s="347"/>
      <c r="B19" s="265"/>
      <c r="C19" s="447"/>
      <c r="D19" s="374"/>
      <c r="E19" s="374"/>
      <c r="F19" s="376"/>
      <c r="G19" s="264"/>
      <c r="H19" s="264"/>
      <c r="I19" s="264"/>
      <c r="J19" s="264"/>
      <c r="K19" s="264"/>
      <c r="L19" s="264"/>
      <c r="M19" s="264"/>
      <c r="N19" s="264"/>
      <c r="O19" s="264"/>
      <c r="P19" s="268"/>
    </row>
    <row r="20" spans="1:16">
      <c r="B20" s="287"/>
      <c r="C20" s="374"/>
      <c r="D20" s="374"/>
      <c r="E20" s="374"/>
      <c r="F20" s="374"/>
      <c r="G20" s="374"/>
      <c r="H20" s="266"/>
      <c r="I20" s="266"/>
      <c r="J20" s="266"/>
      <c r="K20" s="266"/>
      <c r="L20" s="266"/>
      <c r="M20" s="266"/>
      <c r="N20" s="266"/>
      <c r="O20" s="266"/>
    </row>
    <row r="21" spans="1:16">
      <c r="B21" s="287"/>
      <c r="G21" s="345"/>
      <c r="I21" s="267"/>
      <c r="J21" s="267"/>
      <c r="K21" s="267"/>
      <c r="L21" s="267"/>
      <c r="M21" s="267"/>
      <c r="N21" s="267"/>
      <c r="O21" s="267"/>
    </row>
    <row r="22" spans="1:16">
      <c r="B22" s="287"/>
      <c r="F22" s="353"/>
      <c r="G22" s="267"/>
      <c r="H22" s="267"/>
      <c r="I22" s="268"/>
      <c r="J22" s="268"/>
      <c r="K22" s="268"/>
      <c r="L22" s="268"/>
      <c r="M22" s="268"/>
      <c r="N22" s="268"/>
      <c r="O22" s="268"/>
    </row>
    <row r="23" spans="1:16">
      <c r="D23" s="257" t="s">
        <v>551</v>
      </c>
      <c r="G23" s="268"/>
      <c r="H23" s="268"/>
    </row>
    <row r="24" spans="1:16">
      <c r="C24" s="277">
        <v>3</v>
      </c>
      <c r="D24" s="277" t="s">
        <v>522</v>
      </c>
      <c r="F24" s="344">
        <v>2</v>
      </c>
      <c r="O24" s="277" t="s">
        <v>553</v>
      </c>
    </row>
    <row r="25" spans="1:16">
      <c r="D25" s="277" t="s">
        <v>550</v>
      </c>
      <c r="F25" s="344">
        <v>2.7</v>
      </c>
    </row>
    <row r="26" spans="1:16">
      <c r="D26" s="277" t="s">
        <v>546</v>
      </c>
      <c r="E26" s="277" t="s">
        <v>549</v>
      </c>
      <c r="F26" s="277">
        <f>Graphs!F$14</f>
        <v>81</v>
      </c>
      <c r="G26" s="277">
        <f>Graphs!F$16</f>
        <v>128</v>
      </c>
      <c r="J26" s="282"/>
    </row>
    <row r="27" spans="1:16">
      <c r="D27" s="277" t="s">
        <v>547</v>
      </c>
      <c r="E27" s="277" t="s">
        <v>549</v>
      </c>
      <c r="F27" s="277">
        <v>76</v>
      </c>
      <c r="G27" s="345">
        <v>118</v>
      </c>
    </row>
    <row r="29" spans="1:16">
      <c r="D29" s="257" t="s">
        <v>662</v>
      </c>
      <c r="G29" s="268"/>
    </row>
    <row r="30" spans="1:16">
      <c r="C30" s="277">
        <v>3</v>
      </c>
      <c r="D30" s="277" t="s">
        <v>522</v>
      </c>
      <c r="F30" s="344">
        <v>2</v>
      </c>
    </row>
    <row r="31" spans="1:16">
      <c r="D31" s="277" t="s">
        <v>550</v>
      </c>
      <c r="F31" s="344">
        <v>2.7</v>
      </c>
    </row>
    <row r="32" spans="1:16">
      <c r="D32" s="277" t="s">
        <v>552</v>
      </c>
      <c r="F32" s="340">
        <f>F15</f>
        <v>0</v>
      </c>
    </row>
    <row r="33" spans="3:7">
      <c r="D33" s="277" t="s">
        <v>550</v>
      </c>
      <c r="F33" s="277">
        <f>F18</f>
        <v>0</v>
      </c>
    </row>
    <row r="34" spans="3:7">
      <c r="D34" s="277" t="s">
        <v>546</v>
      </c>
      <c r="E34" s="277" t="s">
        <v>549</v>
      </c>
      <c r="F34" s="277">
        <f>Graphs!G$14</f>
        <v>65</v>
      </c>
      <c r="G34" s="277">
        <f>Graphs!G$16</f>
        <v>98</v>
      </c>
    </row>
    <row r="35" spans="3:7">
      <c r="D35" s="277" t="s">
        <v>547</v>
      </c>
      <c r="E35" s="277" t="s">
        <v>549</v>
      </c>
      <c r="F35" s="277">
        <v>59</v>
      </c>
      <c r="G35" s="345">
        <v>88</v>
      </c>
    </row>
    <row r="37" spans="3:7">
      <c r="C37" s="433"/>
      <c r="D37" s="257"/>
      <c r="E37" s="257"/>
      <c r="F37" s="257"/>
      <c r="G37" s="257"/>
    </row>
    <row r="38" spans="3:7">
      <c r="C38" s="257"/>
    </row>
    <row r="39" spans="3:7">
      <c r="C39" s="257"/>
    </row>
    <row r="40" spans="3:7">
      <c r="C40" s="257"/>
    </row>
  </sheetData>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codeName="Sheet15"/>
  <dimension ref="A2:U124"/>
  <sheetViews>
    <sheetView showGridLines="0" topLeftCell="A19" zoomScale="85" zoomScaleNormal="85" workbookViewId="0">
      <selection activeCell="G54" sqref="G54"/>
    </sheetView>
  </sheetViews>
  <sheetFormatPr defaultColWidth="9.140625" defaultRowHeight="12.75"/>
  <cols>
    <col min="1" max="2" width="9.140625" style="180"/>
    <col min="3" max="3" width="27.5703125" style="180" customWidth="1"/>
    <col min="4" max="4" width="28.140625" style="180" customWidth="1"/>
    <col min="5" max="5" width="31.7109375" style="180" customWidth="1"/>
    <col min="6" max="6" width="9.140625" style="180"/>
    <col min="7" max="7" width="18.5703125" style="180" customWidth="1"/>
    <col min="8" max="8" width="13.28515625" style="180" customWidth="1"/>
    <col min="9" max="10" width="17.85546875" style="277" customWidth="1"/>
    <col min="11" max="11" width="19.85546875" style="180" customWidth="1"/>
    <col min="12" max="15" width="12.28515625" style="180" customWidth="1"/>
    <col min="16" max="19" width="9.140625" style="180"/>
    <col min="20" max="20" width="50.7109375" style="182" customWidth="1"/>
    <col min="21" max="16384" width="9.140625" style="180"/>
  </cols>
  <sheetData>
    <row r="2" spans="1:21">
      <c r="B2" s="180" t="s">
        <v>0</v>
      </c>
      <c r="D2" s="181" t="str">
        <f ca="1">MID(CELL("filename",A1),FIND("]",CELL("filename",A1))+1,256)</f>
        <v>Independent Model Outputs</v>
      </c>
      <c r="T2" s="180"/>
    </row>
    <row r="3" spans="1:21">
      <c r="B3" s="180" t="s">
        <v>1</v>
      </c>
      <c r="D3" s="180" t="s">
        <v>224</v>
      </c>
      <c r="T3" s="180"/>
    </row>
    <row r="4" spans="1:21" s="277" customFormat="1"/>
    <row r="5" spans="1:21" s="156" customFormat="1">
      <c r="D5" s="156" t="s">
        <v>19</v>
      </c>
      <c r="E5" s="156" t="s">
        <v>20</v>
      </c>
      <c r="G5" s="220" t="s">
        <v>15</v>
      </c>
      <c r="H5" s="220" t="s">
        <v>649</v>
      </c>
      <c r="I5" s="220" t="s">
        <v>509</v>
      </c>
      <c r="J5" s="220" t="s">
        <v>650</v>
      </c>
      <c r="K5" s="220" t="s">
        <v>17</v>
      </c>
      <c r="N5" s="157"/>
      <c r="U5" s="157"/>
    </row>
    <row r="6" spans="1:21" s="140" customFormat="1">
      <c r="G6" s="219"/>
      <c r="H6" s="219"/>
      <c r="I6" s="219"/>
      <c r="J6" s="219"/>
      <c r="K6" s="219"/>
      <c r="U6" s="160"/>
    </row>
    <row r="7" spans="1:21">
      <c r="G7" s="219"/>
      <c r="H7" s="219"/>
      <c r="I7" s="219"/>
      <c r="J7" s="219"/>
      <c r="K7" s="219"/>
    </row>
    <row r="8" spans="1:21">
      <c r="B8" s="257" t="s">
        <v>435</v>
      </c>
      <c r="C8" s="140"/>
      <c r="D8" s="155" t="s">
        <v>178</v>
      </c>
      <c r="E8" s="140"/>
      <c r="F8" s="140"/>
      <c r="G8" s="219"/>
      <c r="H8" s="219"/>
      <c r="I8" s="219"/>
      <c r="J8" s="219"/>
      <c r="K8" s="219"/>
      <c r="L8" s="173"/>
    </row>
    <row r="9" spans="1:21">
      <c r="A9" s="189"/>
      <c r="B9" s="140"/>
      <c r="C9" s="140"/>
      <c r="D9" s="140" t="s">
        <v>50</v>
      </c>
      <c r="E9" s="140" t="s">
        <v>29</v>
      </c>
      <c r="F9" s="140"/>
      <c r="G9" s="325">
        <f>'Independent Model Outputs'!J68</f>
        <v>24680500</v>
      </c>
      <c r="H9" s="325">
        <f>'Independent Model Outputs'!J74</f>
        <v>22483500</v>
      </c>
      <c r="I9" s="325">
        <f>'Independent Model Outputs'!J80</f>
        <v>22483500</v>
      </c>
      <c r="J9" s="325">
        <f>'Independent Model Outputs'!J86</f>
        <v>20981500</v>
      </c>
      <c r="K9" s="325">
        <f>'Independent Model Outputs'!J92</f>
        <v>16413500</v>
      </c>
    </row>
    <row r="10" spans="1:21">
      <c r="B10" s="140"/>
      <c r="C10" s="140"/>
      <c r="D10" s="140" t="s">
        <v>131</v>
      </c>
      <c r="E10" s="140" t="s">
        <v>29</v>
      </c>
      <c r="F10" s="140"/>
      <c r="G10" s="325">
        <f>'Independent Model Outputs'!J69</f>
        <v>28050000</v>
      </c>
      <c r="H10" s="325">
        <f>'Independent Model Outputs'!J75</f>
        <v>25623000</v>
      </c>
      <c r="I10" s="325">
        <f>'Independent Model Outputs'!J81</f>
        <v>25623000</v>
      </c>
      <c r="J10" s="325">
        <f>'Independent Model Outputs'!J87</f>
        <v>23795500</v>
      </c>
      <c r="K10" s="325">
        <f>'Independent Model Outputs'!J93</f>
        <v>17504250</v>
      </c>
    </row>
    <row r="11" spans="1:21">
      <c r="B11" s="140"/>
      <c r="C11" s="140"/>
      <c r="D11" s="140" t="s">
        <v>23</v>
      </c>
      <c r="E11" s="140" t="s">
        <v>29</v>
      </c>
      <c r="F11" s="140"/>
      <c r="G11" s="325">
        <f>'Independent Model Outputs'!J70</f>
        <v>30039500</v>
      </c>
      <c r="H11" s="325">
        <f>'Independent Model Outputs'!J76</f>
        <v>27477500</v>
      </c>
      <c r="I11" s="325">
        <f>'Independent Model Outputs'!J82</f>
        <v>27477500</v>
      </c>
      <c r="J11" s="325">
        <f>'Independent Model Outputs'!J88</f>
        <v>25507250</v>
      </c>
      <c r="K11" s="325">
        <f>'Independent Model Outputs'!J94</f>
        <v>18191875</v>
      </c>
    </row>
    <row r="12" spans="1:21">
      <c r="B12" s="140"/>
      <c r="C12" s="140"/>
      <c r="D12" s="140"/>
      <c r="E12" s="140"/>
      <c r="F12" s="140"/>
      <c r="G12" s="219"/>
      <c r="H12" s="219"/>
      <c r="I12" s="219"/>
      <c r="J12" s="219"/>
      <c r="K12" s="219"/>
    </row>
    <row r="13" spans="1:21">
      <c r="B13" s="140"/>
      <c r="C13" s="140"/>
      <c r="D13" s="155" t="s">
        <v>179</v>
      </c>
      <c r="E13" s="140"/>
      <c r="F13" s="140"/>
      <c r="G13" s="219"/>
      <c r="H13" s="219"/>
      <c r="I13" s="219"/>
      <c r="J13" s="219"/>
      <c r="K13" s="219"/>
    </row>
    <row r="14" spans="1:21">
      <c r="B14" s="140"/>
      <c r="C14" s="140"/>
      <c r="D14" s="180" t="s">
        <v>50</v>
      </c>
      <c r="E14" s="140" t="s">
        <v>29</v>
      </c>
      <c r="F14" s="140"/>
      <c r="G14" s="325">
        <f>'Independent Model Outputs'!J98</f>
        <v>3753327.5419645915</v>
      </c>
      <c r="H14" s="325">
        <f>'Independent Model Outputs'!J104</f>
        <v>7835663.2621733444</v>
      </c>
      <c r="I14" s="325">
        <f>'Independent Model Outputs'!J110</f>
        <v>5781393.9711389299</v>
      </c>
      <c r="J14" s="325">
        <f>'Independent Model Outputs'!J116</f>
        <v>1308691.8808078973</v>
      </c>
      <c r="K14" s="325">
        <f>'Independent Model Outputs'!J122</f>
        <v>3276495.7286533648</v>
      </c>
    </row>
    <row r="15" spans="1:21">
      <c r="B15" s="140"/>
      <c r="C15" s="140"/>
      <c r="D15" s="180" t="s">
        <v>131</v>
      </c>
      <c r="E15" s="140" t="s">
        <v>29</v>
      </c>
      <c r="F15" s="140"/>
      <c r="G15" s="325">
        <f>'Independent Model Outputs'!J99</f>
        <v>6383669.575536265</v>
      </c>
      <c r="H15" s="325">
        <f>'Independent Model Outputs'!J105</f>
        <v>12400017.039169205</v>
      </c>
      <c r="I15" s="325">
        <f>'Independent Model Outputs'!J111</f>
        <v>8702332.3153072596</v>
      </c>
      <c r="J15" s="325">
        <f>'Independent Model Outputs'!J117</f>
        <v>2102465.3854542151</v>
      </c>
      <c r="K15" s="325">
        <f>'Independent Model Outputs'!J123</f>
        <v>5771972.3115760563</v>
      </c>
    </row>
    <row r="16" spans="1:21">
      <c r="B16" s="140"/>
      <c r="C16" s="140"/>
      <c r="D16" s="180" t="s">
        <v>23</v>
      </c>
      <c r="E16" s="140" t="s">
        <v>29</v>
      </c>
      <c r="F16" s="140"/>
      <c r="G16" s="325">
        <f>'Independent Model Outputs'!J100</f>
        <v>9194599.1091079377</v>
      </c>
      <c r="H16" s="325">
        <f>'Independent Model Outputs'!J106</f>
        <v>16770867.130811661</v>
      </c>
      <c r="I16" s="325">
        <f>'Independent Model Outputs'!J112</f>
        <v>11429766.974122183</v>
      </c>
      <c r="J16" s="325">
        <f>'Independent Model Outputs'!J118</f>
        <v>2969213.8901005331</v>
      </c>
      <c r="K16" s="325">
        <f>'Independent Model Outputs'!J124</f>
        <v>8266755.1444987487</v>
      </c>
    </row>
    <row r="17" spans="1:21">
      <c r="B17" s="140"/>
      <c r="C17" s="140"/>
      <c r="D17" s="140"/>
      <c r="E17" s="140"/>
      <c r="F17" s="140"/>
      <c r="G17" s="140"/>
      <c r="H17" s="140"/>
      <c r="K17" s="140"/>
    </row>
    <row r="18" spans="1:21" s="259" customFormat="1">
      <c r="B18" s="259" t="s">
        <v>447</v>
      </c>
      <c r="D18" s="259" t="s">
        <v>19</v>
      </c>
      <c r="E18" s="259" t="s">
        <v>20</v>
      </c>
      <c r="G18" s="259" t="s">
        <v>15</v>
      </c>
      <c r="H18" s="259" t="s">
        <v>649</v>
      </c>
      <c r="I18" s="220" t="s">
        <v>509</v>
      </c>
      <c r="J18" s="220" t="s">
        <v>650</v>
      </c>
      <c r="K18" s="252" t="s">
        <v>17</v>
      </c>
      <c r="N18" s="260" t="s">
        <v>163</v>
      </c>
      <c r="U18" s="260"/>
    </row>
    <row r="19" spans="1:21" s="198" customFormat="1">
      <c r="H19" s="199"/>
      <c r="I19" s="199"/>
      <c r="J19" s="199"/>
      <c r="K19" s="199"/>
      <c r="N19" s="199"/>
      <c r="U19" s="199"/>
    </row>
    <row r="20" spans="1:21" s="140" customFormat="1">
      <c r="D20" s="155" t="s">
        <v>169</v>
      </c>
      <c r="I20" s="277"/>
      <c r="J20" s="277"/>
      <c r="L20" s="165"/>
      <c r="M20" s="165"/>
      <c r="N20" s="165"/>
      <c r="O20" s="165"/>
      <c r="P20" s="165"/>
      <c r="Q20" s="165"/>
      <c r="R20" s="165"/>
      <c r="S20" s="165"/>
      <c r="U20" s="160"/>
    </row>
    <row r="21" spans="1:21" s="166" customFormat="1">
      <c r="D21" s="180" t="s">
        <v>228</v>
      </c>
      <c r="E21" s="140" t="s">
        <v>29</v>
      </c>
      <c r="F21" s="140"/>
      <c r="G21" s="172">
        <f ca="1">INDEX('Independent Per CP Summary'!$D$100:$I$105,MATCH(G$18,'Independent Per CP Summary'!$D$100:$D$105,FALSE),MATCH($D21,'Independent Per CP Summary'!$D$100:$I$100,FALSE))</f>
        <v>7500</v>
      </c>
      <c r="H21" s="172">
        <f ca="1">INDEX('Independent Per CP Summary'!$D$100:$I$105,MATCH(H$18,'Independent Per CP Summary'!$D$100:$D$105,FALSE),MATCH($D21,'Independent Per CP Summary'!$D$100:$I$100,FALSE))</f>
        <v>7500</v>
      </c>
      <c r="I21" s="172">
        <f ca="1">INDEX('Independent Per CP Summary'!$D$100:$I$105,MATCH(I$18,'Independent Per CP Summary'!$D$100:$D$105,FALSE),MATCH($D21,'Independent Per CP Summary'!$D$100:$I$100,FALSE))</f>
        <v>7500</v>
      </c>
      <c r="J21" s="172">
        <f ca="1">INDEX('Independent Per CP Summary'!$D$100:$I$105,MATCH(J$18,'Independent Per CP Summary'!$D$100:$D$105,FALSE),MATCH($D21,'Independent Per CP Summary'!$D$100:$I$100,FALSE))</f>
        <v>5000</v>
      </c>
      <c r="K21" s="172">
        <f ca="1">INDEX('Independent Per CP Summary'!$D$100:$I$105,MATCH(K$18,'Independent Per CP Summary'!$D$100:$D$105,FALSE),MATCH($D21,'Independent Per CP Summary'!$D$100:$I$100,FALSE))</f>
        <v>1250</v>
      </c>
      <c r="L21" s="165"/>
      <c r="M21" s="165"/>
      <c r="N21" s="165"/>
      <c r="O21" s="165"/>
      <c r="P21" s="165"/>
      <c r="Q21" s="165"/>
      <c r="R21" s="165"/>
      <c r="S21" s="165"/>
      <c r="T21" s="140"/>
      <c r="U21" s="160"/>
    </row>
    <row r="22" spans="1:21" s="140" customFormat="1">
      <c r="A22" s="167"/>
      <c r="B22" s="167"/>
      <c r="D22" s="180" t="s">
        <v>229</v>
      </c>
      <c r="E22" s="140" t="s">
        <v>29</v>
      </c>
      <c r="F22" s="168"/>
      <c r="G22" s="172">
        <f ca="1">INDEX('Independent Per CP Summary'!$D$100:$I$105,MATCH(G$18,'Independent Per CP Summary'!$D$100:$D$105,FALSE),MATCH($D22,'Independent Per CP Summary'!$D$100:$I$100,FALSE))</f>
        <v>587500</v>
      </c>
      <c r="H22" s="172">
        <f ca="1">INDEX('Independent Per CP Summary'!$D$100:$I$105,MATCH(H$18,'Independent Per CP Summary'!$D$100:$D$105,FALSE),MATCH($D22,'Independent Per CP Summary'!$D$100:$I$100,FALSE))</f>
        <v>512500</v>
      </c>
      <c r="I22" s="172">
        <f ca="1">INDEX('Independent Per CP Summary'!$D$100:$I$105,MATCH(I$18,'Independent Per CP Summary'!$D$100:$D$105,FALSE),MATCH($D22,'Independent Per CP Summary'!$D$100:$I$100,FALSE))</f>
        <v>512500</v>
      </c>
      <c r="J22" s="172">
        <f ca="1">INDEX('Independent Per CP Summary'!$D$100:$I$105,MATCH(J$18,'Independent Per CP Summary'!$D$100:$D$105,FALSE),MATCH($D22,'Independent Per CP Summary'!$D$100:$I$100,FALSE))</f>
        <v>460000</v>
      </c>
      <c r="K22" s="172">
        <f ca="1">INDEX('Independent Per CP Summary'!$D$100:$I$105,MATCH(K$18,'Independent Per CP Summary'!$D$100:$D$105,FALSE),MATCH($D22,'Independent Per CP Summary'!$D$100:$I$100,FALSE))</f>
        <v>250000</v>
      </c>
      <c r="L22" s="168"/>
      <c r="M22" s="168"/>
      <c r="N22" s="168"/>
      <c r="O22" s="168"/>
      <c r="P22" s="168"/>
      <c r="Q22" s="168"/>
      <c r="R22" s="168"/>
      <c r="S22" s="168"/>
      <c r="U22" s="160"/>
    </row>
    <row r="23" spans="1:21" s="140" customFormat="1">
      <c r="A23" s="167"/>
      <c r="B23" s="167"/>
      <c r="D23" s="180" t="s">
        <v>230</v>
      </c>
      <c r="E23" s="140" t="s">
        <v>29</v>
      </c>
      <c r="F23" s="168"/>
      <c r="G23" s="172">
        <f ca="1">INDEX('Independent Per CP Summary'!$D$100:$I$105,MATCH(G$18,'Independent Per CP Summary'!$D$100:$D$105,FALSE),MATCH($D23,'Independent Per CP Summary'!$D$100:$I$100,FALSE))</f>
        <v>1672500</v>
      </c>
      <c r="H23" s="172">
        <f ca="1">INDEX('Independent Per CP Summary'!$D$100:$I$105,MATCH(H$18,'Independent Per CP Summary'!$D$100:$D$105,FALSE),MATCH($D23,'Independent Per CP Summary'!$D$100:$I$100,FALSE))</f>
        <v>1422500</v>
      </c>
      <c r="I23" s="172">
        <f ca="1">INDEX('Independent Per CP Summary'!$D$100:$I$105,MATCH(I$18,'Independent Per CP Summary'!$D$100:$D$105,FALSE),MATCH($D23,'Independent Per CP Summary'!$D$100:$I$100,FALSE))</f>
        <v>1422500</v>
      </c>
      <c r="J23" s="172">
        <f ca="1">INDEX('Independent Per CP Summary'!$D$100:$I$105,MATCH(J$18,'Independent Per CP Summary'!$D$100:$D$105,FALSE),MATCH($D23,'Independent Per CP Summary'!$D$100:$I$100,FALSE))</f>
        <v>1245000</v>
      </c>
      <c r="K23" s="172">
        <f ca="1">INDEX('Independent Per CP Summary'!$D$100:$I$105,MATCH(K$18,'Independent Per CP Summary'!$D$100:$D$105,FALSE),MATCH($D23,'Independent Per CP Summary'!$D$100:$I$100,FALSE))</f>
        <v>567500</v>
      </c>
      <c r="L23" s="169"/>
      <c r="M23" s="169"/>
      <c r="N23" s="169"/>
      <c r="O23" s="169"/>
      <c r="P23" s="169"/>
      <c r="Q23" s="169"/>
      <c r="R23" s="169"/>
      <c r="S23" s="169"/>
      <c r="U23" s="160"/>
    </row>
    <row r="24" spans="1:21" s="277" customFormat="1">
      <c r="A24" s="167"/>
      <c r="B24" s="167"/>
      <c r="D24" s="277" t="s">
        <v>367</v>
      </c>
      <c r="E24" s="277" t="s">
        <v>29</v>
      </c>
      <c r="F24" s="266"/>
      <c r="G24" s="172">
        <f ca="1">SUM('Cost-Template'!G10:G19)</f>
        <v>420000</v>
      </c>
      <c r="H24" s="172">
        <f ca="1">SUM('Cost-Template'!J10:J19)</f>
        <v>345000</v>
      </c>
      <c r="I24" s="172">
        <f ca="1">SUM('Cost-Template'!M10:M19)</f>
        <v>345000</v>
      </c>
      <c r="J24" s="172">
        <f ca="1">SUM('Cost-Template'!P10:P19)</f>
        <v>345000</v>
      </c>
      <c r="K24" s="172">
        <f ca="1">SUM('Cost-Template'!S10:S19)</f>
        <v>220000</v>
      </c>
      <c r="L24" s="268"/>
      <c r="M24" s="268"/>
      <c r="N24" s="268" t="s">
        <v>446</v>
      </c>
      <c r="O24" s="268"/>
      <c r="P24" s="268"/>
      <c r="Q24" s="268"/>
      <c r="R24" s="268"/>
      <c r="S24" s="268"/>
      <c r="U24" s="278"/>
    </row>
    <row r="25" spans="1:21" s="140" customFormat="1">
      <c r="I25" s="277"/>
      <c r="J25" s="277"/>
      <c r="U25" s="160"/>
    </row>
    <row r="26" spans="1:21" s="140" customFormat="1">
      <c r="D26" s="155" t="s">
        <v>170</v>
      </c>
      <c r="I26" s="277"/>
      <c r="J26" s="277"/>
      <c r="U26" s="160"/>
    </row>
    <row r="27" spans="1:21" s="140" customFormat="1">
      <c r="D27" s="140" t="s">
        <v>228</v>
      </c>
      <c r="E27" s="140" t="s">
        <v>29</v>
      </c>
      <c r="G27" s="172">
        <f ca="1">INDEX('Independent Per CP Summary'!$D$107:$I$112,MATCH(G$18,'Independent Per CP Summary'!$D$107:$D$112,FALSE),MATCH($D27,'Independent Per CP Summary'!$D$107:$I$107,FALSE))</f>
        <v>2590.3444338182553</v>
      </c>
      <c r="H27" s="172">
        <f ca="1">INDEX('Independent Per CP Summary'!$D$107:$I$112,MATCH(H$18,'Independent Per CP Summary'!$D$107:$D$112,FALSE),MATCH($D27,'Independent Per CP Summary'!$D$107:$I$107,FALSE))</f>
        <v>6134.1252704159288</v>
      </c>
      <c r="I27" s="172">
        <f ca="1">INDEX('Independent Per CP Summary'!$D$107:$I$112,MATCH(I$18,'Independent Per CP Summary'!$D$107:$D$112,FALSE),MATCH($D27,'Independent Per CP Summary'!$D$107:$I$107,FALSE))</f>
        <v>3907.0515559839191</v>
      </c>
      <c r="J27" s="172">
        <f ca="1">INDEX('Independent Per CP Summary'!$D$107:$I$112,MATCH(J$18,'Independent Per CP Summary'!$D$107:$D$112,FALSE),MATCH($D27,'Independent Per CP Summary'!$D$107:$I$107,FALSE))</f>
        <v>39.027535908983282</v>
      </c>
      <c r="K27" s="172">
        <f ca="1">INDEX('Independent Per CP Summary'!$D$107:$I$112,MATCH(K$18,'Independent Per CP Summary'!$D$107:$D$112,FALSE),MATCH($D27,'Independent Per CP Summary'!$D$107:$I$107,FALSE))</f>
        <v>2269.9056363637892</v>
      </c>
      <c r="U27" s="160"/>
    </row>
    <row r="28" spans="1:21" s="140" customFormat="1">
      <c r="D28" s="140" t="s">
        <v>229</v>
      </c>
      <c r="E28" s="140" t="s">
        <v>29</v>
      </c>
      <c r="F28" s="171"/>
      <c r="G28" s="172">
        <f ca="1">INDEX('Independent Per CP Summary'!$D$107:$I$112,MATCH(G$18,'Independent Per CP Summary'!$D$107:$D$112,FALSE),MATCH($D28,'Independent Per CP Summary'!$D$107:$I$107,FALSE))</f>
        <v>129306.88867636511</v>
      </c>
      <c r="H28" s="172">
        <f ca="1">INDEX('Independent Per CP Summary'!$D$107:$I$112,MATCH(H$18,'Independent Per CP Summary'!$D$107:$D$112,FALSE),MATCH($D28,'Independent Per CP Summary'!$D$107:$I$107,FALSE))</f>
        <v>195182.50540831854</v>
      </c>
      <c r="I28" s="172">
        <f ca="1">INDEX('Independent Per CP Summary'!$D$107:$I$112,MATCH(I$18,'Independent Per CP Summary'!$D$107:$D$112,FALSE),MATCH($D28,'Independent Per CP Summary'!$D$107:$I$107,FALSE))</f>
        <v>150641.03111967837</v>
      </c>
      <c r="J28" s="172">
        <f ca="1">INDEX('Independent Per CP Summary'!$D$107:$I$112,MATCH(J$18,'Independent Per CP Summary'!$D$107:$D$112,FALSE),MATCH($D28,'Independent Per CP Summary'!$D$107:$I$107,FALSE))</f>
        <v>72780.550718179671</v>
      </c>
      <c r="K28" s="172">
        <f ca="1">INDEX('Independent Per CP Summary'!$D$107:$I$112,MATCH(K$18,'Independent Per CP Summary'!$D$107:$D$112,FALSE),MATCH($D28,'Independent Per CP Summary'!$D$107:$I$107,FALSE))</f>
        <v>90398.112727275788</v>
      </c>
      <c r="M28" s="173"/>
      <c r="U28" s="160"/>
    </row>
    <row r="29" spans="1:21" s="140" customFormat="1">
      <c r="D29" s="140" t="s">
        <v>230</v>
      </c>
      <c r="E29" s="140" t="s">
        <v>29</v>
      </c>
      <c r="G29" s="172">
        <f ca="1">INDEX('Independent Per CP Summary'!$D$107:$I$112,MATCH(G$18,'Independent Per CP Summary'!$D$107:$D$112,FALSE),MATCH($D29,'Independent Per CP Summary'!$D$107:$I$107,FALSE))</f>
        <v>694292.95906669367</v>
      </c>
      <c r="H29" s="172">
        <f ca="1">INDEX('Independent Per CP Summary'!$D$107:$I$112,MATCH(H$18,'Independent Per CP Summary'!$D$107:$D$112,FALSE),MATCH($D29,'Independent Per CP Summary'!$D$107:$I$107,FALSE))</f>
        <v>1826924.5081191622</v>
      </c>
      <c r="I29" s="172">
        <f ca="1">INDEX('Independent Per CP Summary'!$D$107:$I$112,MATCH(I$18,'Independent Per CP Summary'!$D$107:$D$112,FALSE),MATCH($D29,'Independent Per CP Summary'!$D$107:$I$107,FALSE))</f>
        <v>1173649.551885773</v>
      </c>
      <c r="J29" s="172">
        <f ca="1">INDEX('Independent Per CP Summary'!$D$107:$I$112,MATCH(J$18,'Independent Per CP Summary'!$D$107:$D$112,FALSE),MATCH($D29,'Independent Per CP Summary'!$D$107:$I$107,FALSE))</f>
        <v>-32885.256133364921</v>
      </c>
      <c r="K29" s="172">
        <f ca="1">INDEX('Independent Per CP Summary'!$D$107:$I$112,MATCH(K$18,'Independent Per CP Summary'!$D$107:$D$112,FALSE),MATCH($D29,'Independent Per CP Summary'!$D$107:$I$107,FALSE))</f>
        <v>854132.06666672276</v>
      </c>
      <c r="U29" s="160"/>
    </row>
    <row r="30" spans="1:21" s="277" customFormat="1">
      <c r="D30" s="277" t="s">
        <v>367</v>
      </c>
      <c r="E30" s="277" t="s">
        <v>29</v>
      </c>
      <c r="F30" s="266"/>
      <c r="G30" s="172">
        <f ca="1">SUM('Cost-Template'!G39:G49)</f>
        <v>74000</v>
      </c>
      <c r="H30" s="172">
        <f ca="1">SUM('Cost-Template'!J39:J49)</f>
        <v>69000</v>
      </c>
      <c r="I30" s="172">
        <f ca="1">SUM('Cost-Template'!M39:M49)</f>
        <v>69000</v>
      </c>
      <c r="J30" s="172">
        <f ca="1">SUM('Cost-Template'!P39:P49)</f>
        <v>69000</v>
      </c>
      <c r="K30" s="172">
        <f ca="1">SUM('Cost-Template'!S39:S49)</f>
        <v>44000</v>
      </c>
      <c r="N30" s="268" t="s">
        <v>446</v>
      </c>
      <c r="U30" s="278"/>
    </row>
    <row r="31" spans="1:21" s="140" customFormat="1">
      <c r="I31" s="277"/>
      <c r="J31" s="277"/>
      <c r="U31" s="160"/>
    </row>
    <row r="32" spans="1:21" s="140" customFormat="1">
      <c r="D32" s="155" t="s">
        <v>176</v>
      </c>
      <c r="I32" s="277"/>
      <c r="J32" s="277"/>
      <c r="U32" s="160"/>
    </row>
    <row r="33" spans="2:21" s="140" customFormat="1">
      <c r="D33" s="180" t="s">
        <v>50</v>
      </c>
      <c r="E33" s="140" t="s">
        <v>29</v>
      </c>
      <c r="G33" s="172">
        <f ca="1">INDEX('Independent Per CP Summary'!$D$114:$I116,MATCH(G$18,'Independent Per CP Summary'!$D$114:$D$119,FALSE),MATCH($D33,'Independent Per CP Summary'!$D$114:$I$114,FALSE))</f>
        <v>1640000</v>
      </c>
      <c r="H33" s="172">
        <f ca="1">INDEX('Independent Per CP Summary'!$D$114:$I119,MATCH(H$18,'Independent Per CP Summary'!$D$114:$D$119,FALSE),MATCH($D33,'Independent Per CP Summary'!$D$114:$I$114,FALSE))</f>
        <v>1325000</v>
      </c>
      <c r="I33" s="172">
        <f ca="1">INDEX('Independent Per CP Summary'!$D$114:$I119,MATCH(I$18,'Independent Per CP Summary'!$D$114:$D$119,FALSE),MATCH($D33,'Independent Per CP Summary'!$D$114:$I$114,FALSE))</f>
        <v>1325000</v>
      </c>
      <c r="J33" s="172">
        <f ca="1">INDEX('Independent Per CP Summary'!$D$114:$I119,MATCH(J$18,'Independent Per CP Summary'!$D$114:$D$119,FALSE),MATCH($D33,'Independent Per CP Summary'!$D$114:$I$114,FALSE))</f>
        <v>1390000</v>
      </c>
      <c r="K33" s="172">
        <f ca="1">INDEX('Independent Per CP Summary'!$D$114:$I121,MATCH(K$18,'Independent Per CP Summary'!$D$114:$D$119,FALSE),MATCH($D33,'Independent Per CP Summary'!$D$114:$I$114,FALSE))</f>
        <v>287500</v>
      </c>
      <c r="N33" s="165"/>
      <c r="U33" s="160"/>
    </row>
    <row r="34" spans="2:21" s="140" customFormat="1">
      <c r="D34" s="180" t="s">
        <v>131</v>
      </c>
      <c r="E34" s="140" t="s">
        <v>29</v>
      </c>
      <c r="G34" s="172">
        <f ca="1">INDEX('Independent Per CP Summary'!$D$114:$I119,MATCH(G$18,'Independent Per CP Summary'!$D$114:$D$119,FALSE),MATCH($D34,'Independent Per CP Summary'!$D$114:$I$114,FALSE))</f>
        <v>1940000</v>
      </c>
      <c r="H34" s="172">
        <f ca="1">INDEX('Independent Per CP Summary'!$D$114:$I120,MATCH(H$18,'Independent Per CP Summary'!$D$114:$D$119,FALSE),MATCH($D34,'Independent Per CP Summary'!$D$114:$I$114,FALSE))</f>
        <v>1550000</v>
      </c>
      <c r="I34" s="172">
        <f ca="1">INDEX('Independent Per CP Summary'!$D$114:$I120,MATCH(I$18,'Independent Per CP Summary'!$D$114:$D$119,FALSE),MATCH($D34,'Independent Per CP Summary'!$D$114:$I$114,FALSE))</f>
        <v>1550000</v>
      </c>
      <c r="J34" s="172">
        <f ca="1">INDEX('Independent Per CP Summary'!$D$114:$I120,MATCH(J$18,'Independent Per CP Summary'!$D$114:$D$119,FALSE),MATCH($D34,'Independent Per CP Summary'!$D$114:$I$114,FALSE))</f>
        <v>1690000</v>
      </c>
      <c r="K34" s="172">
        <f ca="1">INDEX('Independent Per CP Summary'!$D$114:$I119,MATCH(K$18,'Independent Per CP Summary'!$D$114:$D$119,FALSE),MATCH($D34,'Independent Per CP Summary'!$D$114:$I$114,FALSE))</f>
        <v>325000</v>
      </c>
      <c r="U34" s="160"/>
    </row>
    <row r="35" spans="2:21" s="140" customFormat="1">
      <c r="D35" s="180" t="s">
        <v>23</v>
      </c>
      <c r="E35" s="140" t="s">
        <v>29</v>
      </c>
      <c r="G35" s="172">
        <f ca="1">INDEX('Independent Per CP Summary'!$D$114:$I120,MATCH(G$18,'Independent Per CP Summary'!$D$114:$D$119,FALSE),MATCH($D35,'Independent Per CP Summary'!$D$114:$I$114,FALSE))</f>
        <v>2337500</v>
      </c>
      <c r="H35" s="172">
        <f ca="1">INDEX('Independent Per CP Summary'!$D$114:$I121,MATCH(H$18,'Independent Per CP Summary'!$D$114:$D$119,FALSE),MATCH($D35,'Independent Per CP Summary'!$D$114:$I$114,FALSE))</f>
        <v>1875000</v>
      </c>
      <c r="I35" s="172">
        <f ca="1">INDEX('Independent Per CP Summary'!$D$114:$I121,MATCH(I$18,'Independent Per CP Summary'!$D$114:$D$119,FALSE),MATCH($D35,'Independent Per CP Summary'!$D$114:$I$114,FALSE))</f>
        <v>1875000</v>
      </c>
      <c r="J35" s="172">
        <f ca="1">INDEX('Independent Per CP Summary'!$D$114:$I121,MATCH(J$18,'Independent Per CP Summary'!$D$114:$D$119,FALSE),MATCH($D35,'Independent Per CP Summary'!$D$114:$I$114,FALSE))</f>
        <v>2087500</v>
      </c>
      <c r="K35" s="172">
        <f ca="1">INDEX('Independent Per CP Summary'!$D$114:$I120,MATCH(K$18,'Independent Per CP Summary'!$D$114:$D$119,FALSE),MATCH($D35,'Independent Per CP Summary'!$D$114:$I$114,FALSE))</f>
        <v>437500</v>
      </c>
      <c r="U35" s="160"/>
    </row>
    <row r="36" spans="2:21" s="140" customFormat="1">
      <c r="I36" s="277"/>
      <c r="J36" s="277"/>
      <c r="U36" s="160"/>
    </row>
    <row r="37" spans="2:21" s="140" customFormat="1">
      <c r="D37" s="155" t="s">
        <v>177</v>
      </c>
      <c r="I37" s="277"/>
      <c r="J37" s="277"/>
      <c r="U37" s="160"/>
    </row>
    <row r="38" spans="2:21" s="140" customFormat="1">
      <c r="D38" s="180" t="s">
        <v>50</v>
      </c>
      <c r="E38" s="140" t="s">
        <v>29</v>
      </c>
      <c r="G38" s="172">
        <f ca="1">INDEX('Independent Per CP Summary'!$D$121:$I$126,MATCH(G$18,'Independent Per CP Summary'!$D$121:$D$126,FALSE),MATCH($D38,'Independent Per CP Summary'!$D$121:$I$121,FALSE))</f>
        <v>772500</v>
      </c>
      <c r="H38" s="172">
        <f ca="1">INDEX('Independent Per CP Summary'!$D$121:$I$126,MATCH(H$18,'Independent Per CP Summary'!$D$121:$D$126,FALSE),MATCH($D38,'Independent Per CP Summary'!$D$121:$I$121,FALSE))</f>
        <v>575000</v>
      </c>
      <c r="I38" s="172">
        <f ca="1">INDEX('Independent Per CP Summary'!$D$121:$I$126,MATCH(I$18,'Independent Per CP Summary'!$D$121:$D$126,FALSE),MATCH($D38,'Independent Per CP Summary'!$D$121:$I$121,FALSE))</f>
        <v>575000</v>
      </c>
      <c r="J38" s="172">
        <f ca="1">INDEX('Independent Per CP Summary'!$D$121:$I$126,MATCH(J$18,'Independent Per CP Summary'!$D$121:$D$126,FALSE),MATCH($D38,'Independent Per CP Summary'!$D$121:$I$121,FALSE))</f>
        <v>685000</v>
      </c>
      <c r="K38" s="172">
        <f ca="1">INDEX('Independent Per CP Summary'!$D$121:$I$126,MATCH(K$18,'Independent Per CP Summary'!$D$121:$D$126,FALSE),MATCH($D38,'Independent Per CP Summary'!$D$121:$I$121,FALSE))</f>
        <v>323750</v>
      </c>
      <c r="U38" s="160"/>
    </row>
    <row r="39" spans="2:21" s="140" customFormat="1">
      <c r="D39" s="180" t="s">
        <v>131</v>
      </c>
      <c r="E39" s="140" t="s">
        <v>29</v>
      </c>
      <c r="G39" s="172">
        <f ca="1">INDEX('Independent Per CP Summary'!$D$121:$I$126,MATCH(G$18,'Independent Per CP Summary'!$D$121:$D$126,FALSE),MATCH($D39,'Independent Per CP Summary'!$D$121:$I$121,FALSE))</f>
        <v>1055000</v>
      </c>
      <c r="H39" s="172">
        <f ca="1">INDEX('Independent Per CP Summary'!$D$121:$I$126,MATCH(H$18,'Independent Per CP Summary'!$D$121:$D$126,FALSE),MATCH($D39,'Independent Per CP Summary'!$D$121:$I$121,FALSE))</f>
        <v>890000</v>
      </c>
      <c r="I39" s="172">
        <f ca="1">INDEX('Independent Per CP Summary'!$D$121:$I$126,MATCH(I$18,'Independent Per CP Summary'!$D$121:$D$126,FALSE),MATCH($D39,'Independent Per CP Summary'!$D$121:$I$121,FALSE))</f>
        <v>890000</v>
      </c>
      <c r="J39" s="172">
        <f ca="1">INDEX('Independent Per CP Summary'!$D$121:$I$126,MATCH(J$18,'Independent Per CP Summary'!$D$121:$D$126,FALSE),MATCH($D39,'Independent Per CP Summary'!$D$121:$I$121,FALSE))</f>
        <v>1005000</v>
      </c>
      <c r="K39" s="172">
        <f ca="1">INDEX('Independent Per CP Summary'!$D$121:$I$126,MATCH(K$18,'Independent Per CP Summary'!$D$121:$D$126,FALSE),MATCH($D39,'Independent Per CP Summary'!$D$121:$I$121,FALSE))</f>
        <v>500000</v>
      </c>
      <c r="U39" s="160"/>
    </row>
    <row r="40" spans="2:21" s="140" customFormat="1">
      <c r="D40" s="180" t="s">
        <v>23</v>
      </c>
      <c r="E40" s="140" t="s">
        <v>29</v>
      </c>
      <c r="G40" s="172">
        <f ca="1">INDEX('Independent Per CP Summary'!$D$121:$I$126,MATCH(G$18,'Independent Per CP Summary'!$D$121:$D$126,FALSE),MATCH($D40,'Independent Per CP Summary'!$D$121:$I$121,FALSE))</f>
        <v>1587500</v>
      </c>
      <c r="H40" s="172">
        <f ca="1">INDEX('Independent Per CP Summary'!$D$121:$I$126,MATCH(H$18,'Independent Per CP Summary'!$D$121:$D$126,FALSE),MATCH($D40,'Independent Per CP Summary'!$D$121:$I$121,FALSE))</f>
        <v>1185000</v>
      </c>
      <c r="I40" s="172">
        <f ca="1">INDEX('Independent Per CP Summary'!$D$121:$I$126,MATCH(I$18,'Independent Per CP Summary'!$D$121:$D$126,FALSE),MATCH($D40,'Independent Per CP Summary'!$D$121:$I$121,FALSE))</f>
        <v>1185000</v>
      </c>
      <c r="J40" s="172">
        <f ca="1">INDEX('Independent Per CP Summary'!$D$121:$I$126,MATCH(J$18,'Independent Per CP Summary'!$D$121:$D$126,FALSE),MATCH($D40,'Independent Per CP Summary'!$D$121:$I$121,FALSE))</f>
        <v>1451250</v>
      </c>
      <c r="K40" s="172">
        <f ca="1">INDEX('Independent Per CP Summary'!$D$121:$I$126,MATCH(K$18,'Independent Per CP Summary'!$D$121:$D$126,FALSE),MATCH($D40,'Independent Per CP Summary'!$D$121:$I$121,FALSE))</f>
        <v>695000</v>
      </c>
      <c r="U40" s="160"/>
    </row>
    <row r="41" spans="2:21" s="140" customFormat="1">
      <c r="I41" s="277"/>
      <c r="J41" s="277"/>
      <c r="U41" s="160"/>
    </row>
    <row r="42" spans="2:21" s="156" customFormat="1">
      <c r="B42" s="156" t="s">
        <v>254</v>
      </c>
      <c r="D42" s="156" t="s">
        <v>19</v>
      </c>
      <c r="E42" s="156" t="s">
        <v>20</v>
      </c>
      <c r="G42" s="156" t="s">
        <v>15</v>
      </c>
      <c r="H42" s="156" t="s">
        <v>649</v>
      </c>
      <c r="I42" s="259" t="s">
        <v>509</v>
      </c>
      <c r="J42" s="259" t="s">
        <v>650</v>
      </c>
      <c r="K42" s="156" t="s">
        <v>17</v>
      </c>
      <c r="N42" s="157" t="s">
        <v>163</v>
      </c>
      <c r="U42" s="157"/>
    </row>
    <row r="43" spans="2:21" s="140" customFormat="1">
      <c r="I43" s="277"/>
      <c r="J43" s="277"/>
      <c r="U43" s="160"/>
    </row>
    <row r="44" spans="2:21" s="140" customFormat="1">
      <c r="B44" s="155" t="s">
        <v>173</v>
      </c>
      <c r="D44" s="155" t="s">
        <v>171</v>
      </c>
      <c r="I44" s="277"/>
      <c r="J44" s="277"/>
      <c r="U44" s="160"/>
    </row>
    <row r="45" spans="2:21" s="140" customFormat="1">
      <c r="D45" s="180" t="s">
        <v>228</v>
      </c>
      <c r="E45" s="140" t="s">
        <v>29</v>
      </c>
      <c r="G45" s="172">
        <f ca="1">G21*'Independent Mkt Size Inputs '!$G10</f>
        <v>2152500</v>
      </c>
      <c r="H45" s="172">
        <f ca="1">H21*'Independent Mkt Size Inputs '!$G10</f>
        <v>2152500</v>
      </c>
      <c r="I45" s="172">
        <f ca="1">I21*'Independent Mkt Size Inputs '!$G10</f>
        <v>2152500</v>
      </c>
      <c r="J45" s="172">
        <f ca="1">J21*'Independent Mkt Size Inputs '!$G10</f>
        <v>1435000</v>
      </c>
      <c r="K45" s="172">
        <f ca="1">K21*'Independent Mkt Size Inputs '!$G10</f>
        <v>358750</v>
      </c>
      <c r="U45" s="160"/>
    </row>
    <row r="46" spans="2:21" s="140" customFormat="1">
      <c r="D46" s="180" t="s">
        <v>229</v>
      </c>
      <c r="E46" s="140" t="s">
        <v>29</v>
      </c>
      <c r="G46" s="172">
        <f ca="1">G22*'Independent Mkt Size Inputs '!$G11</f>
        <v>5875000</v>
      </c>
      <c r="H46" s="172">
        <f ca="1">H22*'Independent Mkt Size Inputs '!$G11</f>
        <v>5125000</v>
      </c>
      <c r="I46" s="172">
        <f ca="1">I22*'Independent Mkt Size Inputs '!$G11</f>
        <v>5125000</v>
      </c>
      <c r="J46" s="172">
        <f ca="1">J22*'Independent Mkt Size Inputs '!$G11</f>
        <v>4600000</v>
      </c>
      <c r="K46" s="172">
        <f ca="1">K22*'Independent Mkt Size Inputs '!$G11</f>
        <v>2500000</v>
      </c>
      <c r="U46" s="160"/>
    </row>
    <row r="47" spans="2:21" s="140" customFormat="1">
      <c r="D47" s="180" t="s">
        <v>230</v>
      </c>
      <c r="E47" s="140" t="s">
        <v>29</v>
      </c>
      <c r="G47" s="172">
        <f ca="1">G23*'Independent Mkt Size Inputs '!$G12</f>
        <v>6690000</v>
      </c>
      <c r="H47" s="172">
        <f ca="1">H23*'Independent Mkt Size Inputs '!$G12</f>
        <v>5690000</v>
      </c>
      <c r="I47" s="172">
        <f ca="1">I23*'Independent Mkt Size Inputs '!$G12</f>
        <v>5690000</v>
      </c>
      <c r="J47" s="172">
        <f ca="1">J23*'Independent Mkt Size Inputs '!$G12</f>
        <v>4980000</v>
      </c>
      <c r="K47" s="172">
        <f ca="1">K23*'Independent Mkt Size Inputs '!$G12</f>
        <v>2270000</v>
      </c>
      <c r="U47" s="160"/>
    </row>
    <row r="48" spans="2:21" s="277" customFormat="1">
      <c r="D48" s="277" t="s">
        <v>367</v>
      </c>
      <c r="E48" s="277" t="s">
        <v>29</v>
      </c>
      <c r="G48" s="172">
        <f ca="1">G24*'Independent Mkt Size Inputs '!$G13</f>
        <v>2100000</v>
      </c>
      <c r="H48" s="172">
        <f ca="1">H24*'Independent Mkt Size Inputs '!$G13</f>
        <v>1725000</v>
      </c>
      <c r="I48" s="172">
        <f ca="1">I24*'Independent Mkt Size Inputs '!$G13</f>
        <v>1725000</v>
      </c>
      <c r="J48" s="172">
        <f ca="1">J24*'Independent Mkt Size Inputs '!$G13</f>
        <v>1725000</v>
      </c>
      <c r="K48" s="172">
        <f ca="1">K24*'Independent Mkt Size Inputs '!$G13</f>
        <v>1100000</v>
      </c>
      <c r="U48" s="278"/>
    </row>
    <row r="49" spans="2:21" s="256" customFormat="1">
      <c r="D49" s="256" t="s">
        <v>689</v>
      </c>
      <c r="E49" s="256" t="s">
        <v>29</v>
      </c>
      <c r="G49" s="368">
        <v>9292500</v>
      </c>
      <c r="H49" s="368">
        <v>9365500</v>
      </c>
      <c r="I49" s="172">
        <f>H49</f>
        <v>9365500</v>
      </c>
      <c r="J49" s="172">
        <f>I49</f>
        <v>9365500</v>
      </c>
      <c r="K49" s="368">
        <v>10910500</v>
      </c>
      <c r="U49" s="258"/>
    </row>
    <row r="50" spans="2:21" s="256" customFormat="1">
      <c r="D50" s="424">
        <f>'Industry Model Outputs'!C25</f>
        <v>0</v>
      </c>
      <c r="E50" s="256" t="s">
        <v>29</v>
      </c>
      <c r="G50" s="424" t="str">
        <f>'Industry Model Outputs'!F25</f>
        <v>REDACTED</v>
      </c>
      <c r="H50" s="424" t="str">
        <f>'Industry Model Outputs'!$G25</f>
        <v>REDACTED</v>
      </c>
      <c r="I50" s="424" t="str">
        <f>'Industry Model Outputs'!$G25</f>
        <v>REDACTED</v>
      </c>
      <c r="J50" s="424" t="str">
        <f>'Industry Model Outputs'!$G25</f>
        <v>REDACTED</v>
      </c>
      <c r="K50" s="424" t="str">
        <f>'Industry Model Outputs'!H25</f>
        <v>REDACTED</v>
      </c>
      <c r="U50" s="258"/>
    </row>
    <row r="51" spans="2:21" s="140" customFormat="1">
      <c r="D51" s="155" t="s">
        <v>171</v>
      </c>
      <c r="E51" s="140" t="s">
        <v>29</v>
      </c>
      <c r="G51" s="177">
        <f ca="1">SUM(G45:G50)</f>
        <v>26110000</v>
      </c>
      <c r="H51" s="177">
        <f ca="1">SUM(H45:H50)</f>
        <v>24058000</v>
      </c>
      <c r="I51" s="269">
        <f t="shared" ref="I51:J51" ca="1" si="0">SUM(I45:I50)</f>
        <v>24058000</v>
      </c>
      <c r="J51" s="269">
        <f t="shared" ca="1" si="0"/>
        <v>22105500</v>
      </c>
      <c r="K51" s="177">
        <f ca="1">SUM(K45:K50)</f>
        <v>17139250</v>
      </c>
      <c r="L51" s="177"/>
      <c r="U51" s="160"/>
    </row>
    <row r="52" spans="2:21" s="140" customFormat="1">
      <c r="I52" s="277"/>
      <c r="J52" s="277"/>
      <c r="U52" s="160"/>
    </row>
    <row r="53" spans="2:21" s="140" customFormat="1">
      <c r="D53" s="155" t="s">
        <v>174</v>
      </c>
      <c r="I53" s="277"/>
      <c r="J53" s="277"/>
      <c r="U53" s="160"/>
    </row>
    <row r="54" spans="2:21" s="140" customFormat="1">
      <c r="D54" s="180" t="s">
        <v>228</v>
      </c>
      <c r="E54" s="140" t="s">
        <v>29</v>
      </c>
      <c r="G54" s="172">
        <f ca="1">G27*'Independent Mkt Size Inputs '!$G10</f>
        <v>743428.85250583931</v>
      </c>
      <c r="H54" s="172">
        <f ca="1">H27*'Independent Mkt Size Inputs '!$G10</f>
        <v>1760493.9526093716</v>
      </c>
      <c r="I54" s="172">
        <f ca="1">I27*'Independent Mkt Size Inputs '!$G10</f>
        <v>1121323.7965673849</v>
      </c>
      <c r="J54" s="172">
        <f ca="1">J27*'Independent Mkt Size Inputs '!$G10</f>
        <v>11200.902805878202</v>
      </c>
      <c r="K54" s="172">
        <f ca="1">K27*'Independent Mkt Size Inputs '!$G10</f>
        <v>651462.91763640754</v>
      </c>
      <c r="U54" s="160"/>
    </row>
    <row r="55" spans="2:21" s="140" customFormat="1">
      <c r="D55" s="180" t="s">
        <v>229</v>
      </c>
      <c r="E55" s="140" t="s">
        <v>29</v>
      </c>
      <c r="G55" s="172">
        <f ca="1">G28*'Independent Mkt Size Inputs '!$G11</f>
        <v>1293068.8867636512</v>
      </c>
      <c r="H55" s="172">
        <f ca="1">H28*'Independent Mkt Size Inputs '!$G11</f>
        <v>1951825.0540831853</v>
      </c>
      <c r="I55" s="172">
        <f ca="1">I28*'Independent Mkt Size Inputs '!$G11</f>
        <v>1506410.3111967838</v>
      </c>
      <c r="J55" s="172">
        <f ca="1">J28*'Independent Mkt Size Inputs '!$G11</f>
        <v>727805.50718179671</v>
      </c>
      <c r="K55" s="172">
        <f ca="1">K28*'Independent Mkt Size Inputs '!$G11</f>
        <v>903981.12727275793</v>
      </c>
      <c r="U55" s="160"/>
    </row>
    <row r="56" spans="2:21" s="140" customFormat="1">
      <c r="D56" s="180" t="s">
        <v>230</v>
      </c>
      <c r="E56" s="140" t="s">
        <v>29</v>
      </c>
      <c r="G56" s="172">
        <f ca="1">G29*'Independent Mkt Size Inputs '!$G12</f>
        <v>2777171.8362667747</v>
      </c>
      <c r="H56" s="172">
        <f ca="1">H29*'Independent Mkt Size Inputs '!$G12</f>
        <v>7307698.0324766487</v>
      </c>
      <c r="I56" s="172">
        <f ca="1">I29*'Independent Mkt Size Inputs '!$G12</f>
        <v>4694598.2075430918</v>
      </c>
      <c r="J56" s="172">
        <f ca="1">J29*'Independent Mkt Size Inputs '!$G12</f>
        <v>-131541.02453345968</v>
      </c>
      <c r="K56" s="172">
        <f ca="1">K29*'Independent Mkt Size Inputs '!$G12</f>
        <v>3416528.2666668911</v>
      </c>
      <c r="U56" s="160"/>
    </row>
    <row r="57" spans="2:21" s="277" customFormat="1">
      <c r="D57" s="277" t="s">
        <v>367</v>
      </c>
      <c r="E57" s="277" t="s">
        <v>29</v>
      </c>
      <c r="G57" s="172">
        <f ca="1">G30*'Independent Mkt Size Inputs '!$G13</f>
        <v>370000</v>
      </c>
      <c r="H57" s="172">
        <f ca="1">H30*'Independent Mkt Size Inputs '!$G13</f>
        <v>345000</v>
      </c>
      <c r="I57" s="172">
        <f ca="1">I30*'Independent Mkt Size Inputs '!$G13</f>
        <v>345000</v>
      </c>
      <c r="J57" s="172">
        <f ca="1">J30*'Independent Mkt Size Inputs '!$G13</f>
        <v>345000</v>
      </c>
      <c r="K57" s="172">
        <f ca="1">K30*'Independent Mkt Size Inputs '!$G13</f>
        <v>220000</v>
      </c>
      <c r="U57" s="278"/>
    </row>
    <row r="58" spans="2:21" s="256" customFormat="1">
      <c r="D58" s="256" t="s">
        <v>323</v>
      </c>
      <c r="E58" s="256" t="s">
        <v>29</v>
      </c>
      <c r="G58" s="368">
        <v>145000</v>
      </c>
      <c r="H58" s="368">
        <v>145000</v>
      </c>
      <c r="I58" s="172">
        <f>H58</f>
        <v>145000</v>
      </c>
      <c r="J58" s="172">
        <f>I58</f>
        <v>145000</v>
      </c>
      <c r="K58" s="368">
        <v>80000</v>
      </c>
      <c r="U58" s="258"/>
    </row>
    <row r="59" spans="2:21" s="256" customFormat="1">
      <c r="D59" s="256" t="s">
        <v>324</v>
      </c>
      <c r="E59" s="256" t="s">
        <v>29</v>
      </c>
      <c r="G59" s="172"/>
      <c r="H59" s="172"/>
      <c r="I59" s="172"/>
      <c r="J59" s="172"/>
      <c r="K59" s="172"/>
      <c r="U59" s="258"/>
    </row>
    <row r="60" spans="2:21" s="140" customFormat="1">
      <c r="D60" s="155" t="s">
        <v>174</v>
      </c>
      <c r="E60" s="140" t="s">
        <v>29</v>
      </c>
      <c r="G60" s="177">
        <f ca="1">SUM(G54:G59)</f>
        <v>5328669.575536265</v>
      </c>
      <c r="H60" s="269">
        <f ca="1">SUM(H54:H59)</f>
        <v>11510017.039169205</v>
      </c>
      <c r="I60" s="269">
        <f t="shared" ref="I60:J60" ca="1" si="1">SUM(I54:I59)</f>
        <v>7812332.3153072605</v>
      </c>
      <c r="J60" s="269">
        <f t="shared" ca="1" si="1"/>
        <v>1097465.3854542151</v>
      </c>
      <c r="K60" s="269">
        <f ca="1">SUM(K54:K59)</f>
        <v>5271972.3115760563</v>
      </c>
      <c r="U60" s="160"/>
    </row>
    <row r="61" spans="2:21">
      <c r="D61" s="181"/>
      <c r="G61" s="177"/>
      <c r="H61" s="177"/>
      <c r="I61" s="269"/>
      <c r="J61" s="269"/>
      <c r="K61" s="177"/>
      <c r="T61" s="180"/>
      <c r="U61" s="182"/>
    </row>
    <row r="62" spans="2:21" s="156" customFormat="1">
      <c r="B62" s="156" t="s">
        <v>642</v>
      </c>
      <c r="D62" s="156" t="s">
        <v>19</v>
      </c>
      <c r="E62" s="156" t="s">
        <v>20</v>
      </c>
      <c r="I62" s="259"/>
      <c r="J62" s="259"/>
      <c r="N62" s="157" t="s">
        <v>163</v>
      </c>
      <c r="U62" s="157"/>
    </row>
    <row r="63" spans="2:21" s="198" customFormat="1">
      <c r="N63" s="199"/>
      <c r="U63" s="199"/>
    </row>
    <row r="64" spans="2:21" s="198" customFormat="1">
      <c r="D64" s="198" t="s">
        <v>643</v>
      </c>
      <c r="E64" s="166"/>
      <c r="F64" s="174">
        <f>IF('Independent Per CP Summary'!$D$20="High",4,IF('Independent Per CP Summary'!$D$20="Mid",3,2))</f>
        <v>3</v>
      </c>
      <c r="N64" s="199"/>
      <c r="U64" s="199"/>
    </row>
    <row r="65" spans="2:21" s="140" customFormat="1">
      <c r="I65" s="277"/>
      <c r="J65" s="277"/>
      <c r="U65" s="160"/>
    </row>
    <row r="66" spans="2:21" s="140" customFormat="1">
      <c r="B66" s="181" t="s">
        <v>248</v>
      </c>
      <c r="D66" s="181" t="s">
        <v>15</v>
      </c>
      <c r="F66" s="181" t="s">
        <v>252</v>
      </c>
      <c r="G66" s="196" t="s">
        <v>24</v>
      </c>
      <c r="H66" s="181" t="s">
        <v>25</v>
      </c>
      <c r="I66" s="257"/>
      <c r="J66" s="197" t="s">
        <v>253</v>
      </c>
      <c r="U66" s="160"/>
    </row>
    <row r="67" spans="2:21" s="140" customFormat="1">
      <c r="B67" s="140" t="s">
        <v>21</v>
      </c>
      <c r="D67" s="181" t="s">
        <v>251</v>
      </c>
      <c r="E67" s="140" t="s">
        <v>29</v>
      </c>
      <c r="F67" s="180" t="str">
        <f>IF($F$64=3,"Mid",IF($F$64=4,"High","Low"))</f>
        <v>Mid</v>
      </c>
      <c r="G67" s="177">
        <f ca="1">G51</f>
        <v>26110000</v>
      </c>
      <c r="H67" s="177">
        <f ca="1">'Independent Per CP Summary'!G90</f>
        <v>1940000</v>
      </c>
      <c r="I67" s="269"/>
      <c r="J67" s="177">
        <f ca="1">G67+H67</f>
        <v>28050000</v>
      </c>
      <c r="U67" s="160"/>
    </row>
    <row r="68" spans="2:21" s="140" customFormat="1">
      <c r="D68" s="140" t="s">
        <v>50</v>
      </c>
      <c r="E68" s="140" t="s">
        <v>29</v>
      </c>
      <c r="F68" s="180">
        <v>2</v>
      </c>
      <c r="G68" s="177">
        <f t="dataTable" ref="G68:H70" dt2D="0" dtr="0" r1="F64" ca="1"/>
        <v>23318500</v>
      </c>
      <c r="H68" s="177">
        <v>1362000</v>
      </c>
      <c r="I68" s="269"/>
      <c r="J68" s="177">
        <f>G68+H68</f>
        <v>24680500</v>
      </c>
      <c r="U68" s="160"/>
    </row>
    <row r="69" spans="2:21" s="140" customFormat="1">
      <c r="D69" s="140" t="s">
        <v>131</v>
      </c>
      <c r="E69" s="140" t="s">
        <v>29</v>
      </c>
      <c r="F69" s="140">
        <v>3</v>
      </c>
      <c r="G69" s="177">
        <v>26110000</v>
      </c>
      <c r="H69" s="177">
        <v>1940000</v>
      </c>
      <c r="I69" s="269"/>
      <c r="J69" s="177">
        <f>G69+H69</f>
        <v>28050000</v>
      </c>
      <c r="U69" s="160"/>
    </row>
    <row r="70" spans="2:21" s="140" customFormat="1">
      <c r="D70" s="140" t="s">
        <v>23</v>
      </c>
      <c r="E70" s="140" t="s">
        <v>29</v>
      </c>
      <c r="F70" s="140">
        <v>4</v>
      </c>
      <c r="G70" s="177">
        <v>27505750</v>
      </c>
      <c r="H70" s="177">
        <v>2533750</v>
      </c>
      <c r="I70" s="269"/>
      <c r="J70" s="177">
        <f>G70+H70</f>
        <v>30039500</v>
      </c>
      <c r="U70" s="160"/>
    </row>
    <row r="71" spans="2:21" s="140" customFormat="1">
      <c r="I71" s="277"/>
      <c r="U71" s="160"/>
    </row>
    <row r="72" spans="2:21" s="140" customFormat="1">
      <c r="D72" s="181" t="s">
        <v>649</v>
      </c>
      <c r="E72" s="180"/>
      <c r="F72" s="181" t="s">
        <v>252</v>
      </c>
      <c r="G72" s="196" t="s">
        <v>24</v>
      </c>
      <c r="H72" s="181" t="s">
        <v>25</v>
      </c>
      <c r="I72" s="257"/>
      <c r="J72" s="197" t="s">
        <v>253</v>
      </c>
      <c r="U72" s="160"/>
    </row>
    <row r="73" spans="2:21" s="140" customFormat="1">
      <c r="D73" s="181" t="s">
        <v>251</v>
      </c>
      <c r="E73" s="180" t="s">
        <v>29</v>
      </c>
      <c r="F73" s="180" t="str">
        <f>IF($F$64=3,"Mid",IF($F$64=4,"High","Low"))</f>
        <v>Mid</v>
      </c>
      <c r="G73" s="177">
        <f ca="1">H51</f>
        <v>24058000</v>
      </c>
      <c r="H73" s="177">
        <f ca="1">'Independent Per CP Summary'!H90</f>
        <v>1565000</v>
      </c>
      <c r="I73" s="269"/>
      <c r="J73" s="177">
        <f ca="1">G73+H73</f>
        <v>25623000</v>
      </c>
      <c r="U73" s="160"/>
    </row>
    <row r="74" spans="2:21" s="140" customFormat="1">
      <c r="D74" s="180" t="s">
        <v>50</v>
      </c>
      <c r="E74" s="180" t="s">
        <v>29</v>
      </c>
      <c r="F74" s="180">
        <v>2</v>
      </c>
      <c r="G74" s="177">
        <f t="dataTable" ref="G74:H76" dt2D="0" dtr="0" r1="F64" ca="1"/>
        <v>21381500</v>
      </c>
      <c r="H74" s="177">
        <v>1102000</v>
      </c>
      <c r="I74" s="269"/>
      <c r="J74" s="177">
        <f>G74+H74</f>
        <v>22483500</v>
      </c>
      <c r="U74" s="160"/>
    </row>
    <row r="75" spans="2:21" s="140" customFormat="1">
      <c r="D75" s="180" t="s">
        <v>131</v>
      </c>
      <c r="E75" s="180" t="s">
        <v>29</v>
      </c>
      <c r="F75" s="180">
        <v>3</v>
      </c>
      <c r="G75" s="177">
        <v>24058000</v>
      </c>
      <c r="H75" s="177">
        <v>1565000</v>
      </c>
      <c r="I75" s="269"/>
      <c r="J75" s="177">
        <f>G75+H75</f>
        <v>25623000</v>
      </c>
      <c r="U75" s="160"/>
    </row>
    <row r="76" spans="2:21" s="140" customFormat="1">
      <c r="D76" s="180" t="s">
        <v>23</v>
      </c>
      <c r="E76" s="180" t="s">
        <v>29</v>
      </c>
      <c r="F76" s="180">
        <v>4</v>
      </c>
      <c r="G76" s="177">
        <v>25396250</v>
      </c>
      <c r="H76" s="177">
        <v>2081250</v>
      </c>
      <c r="I76" s="269"/>
      <c r="J76" s="177">
        <f>G76+H76</f>
        <v>27477500</v>
      </c>
      <c r="U76" s="160"/>
    </row>
    <row r="77" spans="2:21" s="277" customFormat="1">
      <c r="G77" s="269"/>
      <c r="H77" s="269"/>
      <c r="I77" s="269"/>
      <c r="J77" s="269"/>
      <c r="U77" s="278"/>
    </row>
    <row r="78" spans="2:21" s="277" customFormat="1">
      <c r="D78" s="257" t="s">
        <v>509</v>
      </c>
      <c r="F78" s="257" t="s">
        <v>252</v>
      </c>
      <c r="G78" s="196" t="s">
        <v>24</v>
      </c>
      <c r="H78" s="257" t="s">
        <v>25</v>
      </c>
      <c r="I78" s="257"/>
      <c r="J78" s="197" t="s">
        <v>253</v>
      </c>
      <c r="U78" s="278"/>
    </row>
    <row r="79" spans="2:21" s="277" customFormat="1">
      <c r="D79" s="257" t="s">
        <v>251</v>
      </c>
      <c r="E79" s="277" t="s">
        <v>29</v>
      </c>
      <c r="F79" s="277" t="str">
        <f>IF($F$64=3,"Mid",IF($F$64=4,"High","Low"))</f>
        <v>Mid</v>
      </c>
      <c r="G79" s="269">
        <f ca="1">I51</f>
        <v>24058000</v>
      </c>
      <c r="H79" s="269">
        <f ca="1">'Independent Per CP Summary'!I90</f>
        <v>1565000</v>
      </c>
      <c r="I79" s="269"/>
      <c r="J79" s="269">
        <f ca="1">G79+H79</f>
        <v>25623000</v>
      </c>
      <c r="U79" s="278"/>
    </row>
    <row r="80" spans="2:21" s="277" customFormat="1">
      <c r="D80" s="277" t="s">
        <v>50</v>
      </c>
      <c r="E80" s="277" t="s">
        <v>29</v>
      </c>
      <c r="F80" s="277">
        <v>2</v>
      </c>
      <c r="G80" s="269">
        <f t="dataTable" ref="G80:H82" dt2D="0" dtr="0" r1="F64" ca="1"/>
        <v>21381500</v>
      </c>
      <c r="H80" s="269">
        <v>1102000</v>
      </c>
      <c r="I80" s="269"/>
      <c r="J80" s="269">
        <f>G80+H80</f>
        <v>22483500</v>
      </c>
      <c r="U80" s="278"/>
    </row>
    <row r="81" spans="2:21" s="277" customFormat="1">
      <c r="D81" s="277" t="s">
        <v>131</v>
      </c>
      <c r="E81" s="277" t="s">
        <v>29</v>
      </c>
      <c r="F81" s="277">
        <v>3</v>
      </c>
      <c r="G81" s="269">
        <v>24058000</v>
      </c>
      <c r="H81" s="269">
        <v>1565000</v>
      </c>
      <c r="I81" s="269"/>
      <c r="J81" s="269">
        <f>G81+H81</f>
        <v>25623000</v>
      </c>
      <c r="U81" s="278"/>
    </row>
    <row r="82" spans="2:21" s="277" customFormat="1">
      <c r="D82" s="277" t="s">
        <v>23</v>
      </c>
      <c r="E82" s="277" t="s">
        <v>29</v>
      </c>
      <c r="F82" s="277">
        <v>4</v>
      </c>
      <c r="G82" s="269">
        <v>25396250</v>
      </c>
      <c r="H82" s="269">
        <v>2081250</v>
      </c>
      <c r="I82" s="269"/>
      <c r="J82" s="269">
        <f>G82+H82</f>
        <v>27477500</v>
      </c>
      <c r="U82" s="278"/>
    </row>
    <row r="83" spans="2:21" s="277" customFormat="1">
      <c r="G83" s="269"/>
      <c r="H83" s="269"/>
      <c r="I83" s="269"/>
      <c r="J83" s="269"/>
      <c r="U83" s="278"/>
    </row>
    <row r="84" spans="2:21" s="277" customFormat="1">
      <c r="D84" s="257" t="s">
        <v>650</v>
      </c>
      <c r="F84" s="257" t="s">
        <v>252</v>
      </c>
      <c r="G84" s="196" t="s">
        <v>24</v>
      </c>
      <c r="H84" s="257" t="s">
        <v>25</v>
      </c>
      <c r="I84" s="257"/>
      <c r="J84" s="197" t="s">
        <v>253</v>
      </c>
      <c r="U84" s="278"/>
    </row>
    <row r="85" spans="2:21" s="277" customFormat="1">
      <c r="D85" s="257" t="s">
        <v>251</v>
      </c>
      <c r="E85" s="277" t="s">
        <v>29</v>
      </c>
      <c r="F85" s="277" t="str">
        <f>IF($F$64=3,"Mid",IF($F$64=4,"High","Low"))</f>
        <v>Mid</v>
      </c>
      <c r="G85" s="269">
        <f ca="1">J51</f>
        <v>22105500</v>
      </c>
      <c r="H85" s="269">
        <f ca="1">'Independent Per CP Summary'!J90</f>
        <v>1690000</v>
      </c>
      <c r="I85" s="269"/>
      <c r="J85" s="269">
        <f ca="1">G85+H85</f>
        <v>23795500</v>
      </c>
      <c r="U85" s="278"/>
    </row>
    <row r="86" spans="2:21" s="277" customFormat="1">
      <c r="D86" s="277" t="s">
        <v>50</v>
      </c>
      <c r="E86" s="277" t="s">
        <v>29</v>
      </c>
      <c r="F86" s="277">
        <v>2</v>
      </c>
      <c r="G86" s="269">
        <f t="dataTable" ref="G86:H88" dt2D="0" dtr="0" r1="F64" ca="1"/>
        <v>19819500</v>
      </c>
      <c r="H86" s="269">
        <v>1162000</v>
      </c>
      <c r="I86" s="269"/>
      <c r="J86" s="269">
        <f>G86+H86</f>
        <v>20981500</v>
      </c>
      <c r="U86" s="278"/>
    </row>
    <row r="87" spans="2:21" s="277" customFormat="1">
      <c r="D87" s="277" t="s">
        <v>131</v>
      </c>
      <c r="E87" s="277" t="s">
        <v>29</v>
      </c>
      <c r="F87" s="277">
        <v>3</v>
      </c>
      <c r="G87" s="269">
        <v>22105500</v>
      </c>
      <c r="H87" s="269">
        <v>1690000</v>
      </c>
      <c r="I87" s="269"/>
      <c r="J87" s="269">
        <f>G87+H87</f>
        <v>23795500</v>
      </c>
      <c r="U87" s="278"/>
    </row>
    <row r="88" spans="2:21" s="140" customFormat="1">
      <c r="D88" s="277" t="s">
        <v>23</v>
      </c>
      <c r="E88" s="277" t="s">
        <v>29</v>
      </c>
      <c r="F88" s="277">
        <v>4</v>
      </c>
      <c r="G88" s="269">
        <v>23248500</v>
      </c>
      <c r="H88" s="269">
        <v>2258750</v>
      </c>
      <c r="I88" s="269"/>
      <c r="J88" s="269">
        <f>G88+H88</f>
        <v>25507250</v>
      </c>
      <c r="U88" s="160"/>
    </row>
    <row r="89" spans="2:21" s="277" customFormat="1">
      <c r="G89" s="269"/>
      <c r="H89" s="269"/>
      <c r="I89" s="269"/>
      <c r="J89" s="269"/>
      <c r="U89" s="278"/>
    </row>
    <row r="90" spans="2:21" s="140" customFormat="1">
      <c r="D90" s="181" t="s">
        <v>17</v>
      </c>
      <c r="E90" s="180"/>
      <c r="F90" s="181" t="s">
        <v>252</v>
      </c>
      <c r="G90" s="196" t="s">
        <v>24</v>
      </c>
      <c r="H90" s="181" t="s">
        <v>25</v>
      </c>
      <c r="I90" s="257"/>
      <c r="J90" s="197" t="s">
        <v>253</v>
      </c>
      <c r="U90" s="160"/>
    </row>
    <row r="91" spans="2:21" s="140" customFormat="1">
      <c r="D91" s="181" t="s">
        <v>251</v>
      </c>
      <c r="E91" s="180" t="s">
        <v>29</v>
      </c>
      <c r="F91" s="180" t="str">
        <f>IF($F$64=3,"Mid",IF($F$64=4,"High","Low"))</f>
        <v>Mid</v>
      </c>
      <c r="G91" s="177">
        <f ca="1">K51</f>
        <v>17139250</v>
      </c>
      <c r="H91" s="177">
        <f ca="1">'Independent Per CP Summary'!K90</f>
        <v>365000</v>
      </c>
      <c r="I91" s="269"/>
      <c r="J91" s="177">
        <f ca="1">G91+H91</f>
        <v>17504250</v>
      </c>
      <c r="U91" s="160"/>
    </row>
    <row r="92" spans="2:21" s="140" customFormat="1">
      <c r="D92" s="180" t="s">
        <v>50</v>
      </c>
      <c r="E92" s="180" t="s">
        <v>29</v>
      </c>
      <c r="F92" s="180">
        <v>2</v>
      </c>
      <c r="G92" s="177">
        <f t="dataTable" ref="G92:H94" dt2D="0" dtr="0" r1="F64" ca="1"/>
        <v>16131500</v>
      </c>
      <c r="H92" s="177">
        <v>282000</v>
      </c>
      <c r="I92" s="269"/>
      <c r="J92" s="177">
        <f>G92+H92</f>
        <v>16413500</v>
      </c>
      <c r="U92" s="160"/>
    </row>
    <row r="93" spans="2:21" s="140" customFormat="1">
      <c r="D93" s="180" t="s">
        <v>131</v>
      </c>
      <c r="E93" s="180" t="s">
        <v>29</v>
      </c>
      <c r="F93" s="180">
        <v>3</v>
      </c>
      <c r="G93" s="177">
        <v>17139250</v>
      </c>
      <c r="H93" s="177">
        <v>365000</v>
      </c>
      <c r="I93" s="269"/>
      <c r="J93" s="177">
        <f>G93+H93</f>
        <v>17504250</v>
      </c>
      <c r="U93" s="160"/>
    </row>
    <row r="94" spans="2:21" s="140" customFormat="1">
      <c r="D94" s="180" t="s">
        <v>23</v>
      </c>
      <c r="E94" s="180" t="s">
        <v>29</v>
      </c>
      <c r="F94" s="180">
        <v>4</v>
      </c>
      <c r="G94" s="177">
        <v>17643125</v>
      </c>
      <c r="H94" s="177">
        <v>548750</v>
      </c>
      <c r="I94" s="269"/>
      <c r="J94" s="177">
        <f>G94+H94</f>
        <v>18191875</v>
      </c>
      <c r="U94" s="160"/>
    </row>
    <row r="95" spans="2:21" s="140" customFormat="1">
      <c r="I95" s="277"/>
      <c r="U95" s="160"/>
    </row>
    <row r="96" spans="2:21" s="140" customFormat="1">
      <c r="B96" s="140" t="s">
        <v>22</v>
      </c>
      <c r="D96" s="181" t="s">
        <v>15</v>
      </c>
      <c r="E96" s="180"/>
      <c r="F96" s="181" t="s">
        <v>252</v>
      </c>
      <c r="G96" s="196" t="s">
        <v>24</v>
      </c>
      <c r="H96" s="181" t="s">
        <v>25</v>
      </c>
      <c r="I96" s="257"/>
      <c r="J96" s="197" t="s">
        <v>253</v>
      </c>
      <c r="U96" s="160"/>
    </row>
    <row r="97" spans="4:21" s="140" customFormat="1">
      <c r="D97" s="181" t="s">
        <v>251</v>
      </c>
      <c r="E97" s="180" t="s">
        <v>29</v>
      </c>
      <c r="F97" s="180" t="str">
        <f>IF($F$64=3,"Mid",IF($F$64=4,"High","Low"))</f>
        <v>Mid</v>
      </c>
      <c r="G97" s="177">
        <f ca="1">G60</f>
        <v>5328669.575536265</v>
      </c>
      <c r="H97" s="177">
        <f ca="1">'Independent Per CP Summary'!M90</f>
        <v>1055000</v>
      </c>
      <c r="I97" s="269"/>
      <c r="J97" s="177">
        <f ca="1">G97+H97</f>
        <v>6383669.575536265</v>
      </c>
      <c r="U97" s="160"/>
    </row>
    <row r="98" spans="4:21" s="140" customFormat="1">
      <c r="D98" s="180" t="s">
        <v>50</v>
      </c>
      <c r="E98" s="180" t="s">
        <v>29</v>
      </c>
      <c r="F98" s="180">
        <v>2</v>
      </c>
      <c r="G98" s="177">
        <f t="dataTable" ref="G98:H100" dt2D="0" dtr="0" r1="F64" ca="1"/>
        <v>3199827.5419645915</v>
      </c>
      <c r="H98" s="177">
        <v>553500</v>
      </c>
      <c r="I98" s="269"/>
      <c r="J98" s="177">
        <f>G98+H98</f>
        <v>3753327.5419645915</v>
      </c>
      <c r="U98" s="160"/>
    </row>
    <row r="99" spans="4:21" s="140" customFormat="1">
      <c r="D99" s="180" t="s">
        <v>131</v>
      </c>
      <c r="E99" s="180" t="s">
        <v>29</v>
      </c>
      <c r="F99" s="180">
        <v>3</v>
      </c>
      <c r="G99" s="177">
        <v>5328669.575536265</v>
      </c>
      <c r="H99" s="177">
        <v>1055000</v>
      </c>
      <c r="I99" s="269"/>
      <c r="J99" s="177">
        <f>G99+H99</f>
        <v>6383669.575536265</v>
      </c>
      <c r="U99" s="160"/>
    </row>
    <row r="100" spans="4:21" s="140" customFormat="1">
      <c r="D100" s="180" t="s">
        <v>23</v>
      </c>
      <c r="E100" s="180" t="s">
        <v>29</v>
      </c>
      <c r="F100" s="180">
        <v>4</v>
      </c>
      <c r="G100" s="177">
        <v>7387724.1091079377</v>
      </c>
      <c r="H100" s="177">
        <v>1806875</v>
      </c>
      <c r="I100" s="269"/>
      <c r="J100" s="177">
        <f>G100+H100</f>
        <v>9194599.1091079377</v>
      </c>
      <c r="U100" s="160"/>
    </row>
    <row r="101" spans="4:21" s="140" customFormat="1">
      <c r="D101" s="180"/>
      <c r="E101" s="180"/>
      <c r="F101" s="180"/>
      <c r="G101" s="180"/>
      <c r="H101" s="180"/>
      <c r="I101" s="277"/>
      <c r="J101" s="180"/>
      <c r="U101" s="160"/>
    </row>
    <row r="102" spans="4:21" s="140" customFormat="1">
      <c r="D102" s="181" t="s">
        <v>649</v>
      </c>
      <c r="E102" s="180"/>
      <c r="F102" s="181" t="s">
        <v>252</v>
      </c>
      <c r="G102" s="196" t="s">
        <v>24</v>
      </c>
      <c r="H102" s="181" t="s">
        <v>25</v>
      </c>
      <c r="I102" s="257"/>
      <c r="J102" s="197" t="s">
        <v>253</v>
      </c>
      <c r="U102" s="160"/>
    </row>
    <row r="103" spans="4:21" s="140" customFormat="1">
      <c r="D103" s="181" t="s">
        <v>251</v>
      </c>
      <c r="E103" s="180" t="s">
        <v>29</v>
      </c>
      <c r="F103" s="180" t="str">
        <f>IF($F$64=3,"Mid",IF($F$64=4,"High","Low"))</f>
        <v>Mid</v>
      </c>
      <c r="G103" s="177">
        <f ca="1">H60</f>
        <v>11510017.039169205</v>
      </c>
      <c r="H103" s="177">
        <f ca="1">'Independent Per CP Summary'!N90</f>
        <v>890000</v>
      </c>
      <c r="I103" s="269"/>
      <c r="J103" s="177">
        <f ca="1">G103+H103</f>
        <v>12400017.039169205</v>
      </c>
      <c r="U103" s="160"/>
    </row>
    <row r="104" spans="4:21" s="140" customFormat="1">
      <c r="D104" s="180" t="s">
        <v>50</v>
      </c>
      <c r="E104" s="180" t="s">
        <v>29</v>
      </c>
      <c r="F104" s="180">
        <v>2</v>
      </c>
      <c r="G104" s="177">
        <f t="dataTable" ref="G104:H106" dt2D="0" dtr="0" r1="F64" ca="1"/>
        <v>7432663.2621733444</v>
      </c>
      <c r="H104" s="177">
        <v>403000</v>
      </c>
      <c r="I104" s="269"/>
      <c r="J104" s="177">
        <f>G104+H104</f>
        <v>7835663.2621733444</v>
      </c>
      <c r="U104" s="160"/>
    </row>
    <row r="105" spans="4:21" s="140" customFormat="1">
      <c r="D105" s="180" t="s">
        <v>131</v>
      </c>
      <c r="E105" s="180" t="s">
        <v>29</v>
      </c>
      <c r="F105" s="180">
        <v>3</v>
      </c>
      <c r="G105" s="177">
        <v>11510017.039169205</v>
      </c>
      <c r="H105" s="177">
        <v>890000</v>
      </c>
      <c r="I105" s="269"/>
      <c r="J105" s="177">
        <f>G105+H105</f>
        <v>12400017.039169205</v>
      </c>
      <c r="U105" s="160"/>
    </row>
    <row r="106" spans="4:21" s="140" customFormat="1" ht="13.5" customHeight="1">
      <c r="D106" s="180" t="s">
        <v>23</v>
      </c>
      <c r="E106" s="180" t="s">
        <v>29</v>
      </c>
      <c r="F106" s="180">
        <v>4</v>
      </c>
      <c r="G106" s="177">
        <v>15415867.130811661</v>
      </c>
      <c r="H106" s="177">
        <v>1355000</v>
      </c>
      <c r="I106" s="269"/>
      <c r="J106" s="177">
        <f>G106+H106</f>
        <v>16770867.130811661</v>
      </c>
      <c r="U106" s="160"/>
    </row>
    <row r="107" spans="4:21" s="277" customFormat="1" ht="13.5" customHeight="1">
      <c r="G107" s="269"/>
      <c r="H107" s="269"/>
      <c r="I107" s="269"/>
      <c r="J107" s="269"/>
      <c r="U107" s="278"/>
    </row>
    <row r="108" spans="4:21" s="277" customFormat="1" ht="13.5" customHeight="1">
      <c r="D108" s="257" t="s">
        <v>509</v>
      </c>
      <c r="F108" s="257" t="s">
        <v>252</v>
      </c>
      <c r="G108" s="196" t="s">
        <v>24</v>
      </c>
      <c r="H108" s="257" t="s">
        <v>25</v>
      </c>
      <c r="I108" s="257"/>
      <c r="J108" s="197" t="s">
        <v>253</v>
      </c>
      <c r="U108" s="278"/>
    </row>
    <row r="109" spans="4:21" s="277" customFormat="1" ht="13.5" customHeight="1">
      <c r="D109" s="257" t="s">
        <v>251</v>
      </c>
      <c r="E109" s="277" t="s">
        <v>29</v>
      </c>
      <c r="F109" s="277" t="str">
        <f>IF($F$64=3,"Mid",IF($F$64=4,"High","Low"))</f>
        <v>Mid</v>
      </c>
      <c r="G109" s="269">
        <f ca="1">I60</f>
        <v>7812332.3153072605</v>
      </c>
      <c r="H109" s="269">
        <f ca="1">'Independent Per CP Summary'!O90</f>
        <v>890000</v>
      </c>
      <c r="I109" s="269"/>
      <c r="J109" s="269">
        <f ca="1">G109+H109</f>
        <v>8702332.3153072596</v>
      </c>
      <c r="U109" s="278"/>
    </row>
    <row r="110" spans="4:21" s="277" customFormat="1" ht="13.5" customHeight="1">
      <c r="D110" s="277" t="s">
        <v>50</v>
      </c>
      <c r="E110" s="277" t="s">
        <v>29</v>
      </c>
      <c r="F110" s="277">
        <v>2</v>
      </c>
      <c r="G110" s="269">
        <f t="dataTable" ref="G110:H112" dt2D="0" dtr="0" r1="F64" ca="1"/>
        <v>5378393.9711389299</v>
      </c>
      <c r="H110" s="269">
        <v>403000</v>
      </c>
      <c r="I110" s="269"/>
      <c r="J110" s="269">
        <f>G110+H110</f>
        <v>5781393.9711389299</v>
      </c>
      <c r="U110" s="278"/>
    </row>
    <row r="111" spans="4:21" s="277" customFormat="1" ht="13.5" customHeight="1">
      <c r="D111" s="277" t="s">
        <v>131</v>
      </c>
      <c r="E111" s="277" t="s">
        <v>29</v>
      </c>
      <c r="F111" s="277">
        <v>3</v>
      </c>
      <c r="G111" s="269">
        <v>7812332.3153072605</v>
      </c>
      <c r="H111" s="269">
        <v>890000</v>
      </c>
      <c r="I111" s="269"/>
      <c r="J111" s="269">
        <f>G111+H111</f>
        <v>8702332.3153072596</v>
      </c>
      <c r="U111" s="278"/>
    </row>
    <row r="112" spans="4:21" s="277" customFormat="1" ht="13.5" customHeight="1">
      <c r="D112" s="277" t="s">
        <v>23</v>
      </c>
      <c r="E112" s="277" t="s">
        <v>29</v>
      </c>
      <c r="F112" s="277">
        <v>4</v>
      </c>
      <c r="G112" s="269">
        <v>10074766.974122183</v>
      </c>
      <c r="H112" s="269">
        <v>1355000</v>
      </c>
      <c r="I112" s="269"/>
      <c r="J112" s="269">
        <f>G112+H112</f>
        <v>11429766.974122183</v>
      </c>
      <c r="U112" s="278"/>
    </row>
    <row r="113" spans="4:21" s="277" customFormat="1" ht="13.5" customHeight="1">
      <c r="G113" s="269"/>
      <c r="H113" s="269"/>
      <c r="I113" s="269"/>
      <c r="J113" s="269"/>
      <c r="U113" s="278"/>
    </row>
    <row r="114" spans="4:21" s="277" customFormat="1" ht="13.5" customHeight="1">
      <c r="D114" s="257" t="s">
        <v>650</v>
      </c>
      <c r="F114" s="257" t="s">
        <v>252</v>
      </c>
      <c r="G114" s="196" t="s">
        <v>24</v>
      </c>
      <c r="H114" s="257" t="s">
        <v>25</v>
      </c>
      <c r="I114" s="257"/>
      <c r="J114" s="197" t="s">
        <v>253</v>
      </c>
      <c r="U114" s="278"/>
    </row>
    <row r="115" spans="4:21" s="277" customFormat="1">
      <c r="D115" s="257" t="s">
        <v>251</v>
      </c>
      <c r="E115" s="277" t="s">
        <v>29</v>
      </c>
      <c r="F115" s="277" t="str">
        <f>IF($F$64=3,"Mid",IF($F$64=4,"High","Low"))</f>
        <v>Mid</v>
      </c>
      <c r="G115" s="269">
        <f ca="1">J60</f>
        <v>1097465.3854542151</v>
      </c>
      <c r="H115" s="269">
        <f ca="1">'Independent Per CP Summary'!P90</f>
        <v>1005000</v>
      </c>
      <c r="I115" s="269"/>
      <c r="J115" s="269">
        <f ca="1">G115+H115</f>
        <v>2102465.3854542151</v>
      </c>
      <c r="U115" s="278"/>
    </row>
    <row r="116" spans="4:21" s="277" customFormat="1">
      <c r="D116" s="277" t="s">
        <v>50</v>
      </c>
      <c r="E116" s="277" t="s">
        <v>29</v>
      </c>
      <c r="F116" s="277">
        <v>2</v>
      </c>
      <c r="G116" s="269">
        <f t="dataTable" ref="G116:H118" dt2D="0" dtr="0" r1="F64" ca="1"/>
        <v>826691.88080789731</v>
      </c>
      <c r="H116" s="269">
        <v>482000</v>
      </c>
      <c r="I116" s="269"/>
      <c r="J116" s="269">
        <f>G116+H116</f>
        <v>1308691.8808078973</v>
      </c>
      <c r="U116" s="278"/>
    </row>
    <row r="117" spans="4:21" s="277" customFormat="1">
      <c r="D117" s="277" t="s">
        <v>131</v>
      </c>
      <c r="E117" s="277" t="s">
        <v>29</v>
      </c>
      <c r="F117" s="277">
        <v>3</v>
      </c>
      <c r="G117" s="269">
        <v>1097465.3854542151</v>
      </c>
      <c r="H117" s="269">
        <v>1005000</v>
      </c>
      <c r="I117" s="269"/>
      <c r="J117" s="269">
        <f>G117+H117</f>
        <v>2102465.3854542151</v>
      </c>
      <c r="U117" s="278"/>
    </row>
    <row r="118" spans="4:21" s="140" customFormat="1">
      <c r="D118" s="277" t="s">
        <v>23</v>
      </c>
      <c r="E118" s="277" t="s">
        <v>29</v>
      </c>
      <c r="F118" s="277">
        <v>4</v>
      </c>
      <c r="G118" s="269">
        <v>1311088.8901005331</v>
      </c>
      <c r="H118" s="269">
        <v>1658125</v>
      </c>
      <c r="I118" s="269"/>
      <c r="J118" s="269">
        <f>G118+H118</f>
        <v>2969213.8901005331</v>
      </c>
      <c r="U118" s="160"/>
    </row>
    <row r="119" spans="4:21" s="277" customFormat="1">
      <c r="G119" s="269"/>
      <c r="H119" s="269"/>
      <c r="I119" s="269"/>
      <c r="J119" s="269"/>
      <c r="U119" s="278"/>
    </row>
    <row r="120" spans="4:21" s="140" customFormat="1">
      <c r="D120" s="181" t="s">
        <v>17</v>
      </c>
      <c r="E120" s="180"/>
      <c r="F120" s="181" t="s">
        <v>252</v>
      </c>
      <c r="G120" s="196" t="s">
        <v>24</v>
      </c>
      <c r="H120" s="181" t="s">
        <v>25</v>
      </c>
      <c r="I120" s="257"/>
      <c r="J120" s="197" t="s">
        <v>253</v>
      </c>
      <c r="U120" s="160"/>
    </row>
    <row r="121" spans="4:21" s="140" customFormat="1">
      <c r="D121" s="181" t="s">
        <v>251</v>
      </c>
      <c r="E121" s="180" t="s">
        <v>29</v>
      </c>
      <c r="F121" s="180" t="str">
        <f>IF($F$64=3,"Mid",IF($F$64=4,"High","Low"))</f>
        <v>Mid</v>
      </c>
      <c r="G121" s="177">
        <f ca="1">K60</f>
        <v>5271972.3115760563</v>
      </c>
      <c r="H121" s="177">
        <f ca="1">'Independent Per CP Summary'!Q90</f>
        <v>500000</v>
      </c>
      <c r="I121" s="269"/>
      <c r="J121" s="177">
        <f ca="1">G121+H121</f>
        <v>5771972.3115760563</v>
      </c>
      <c r="U121" s="160"/>
    </row>
    <row r="122" spans="4:21" s="140" customFormat="1">
      <c r="D122" s="180" t="s">
        <v>50</v>
      </c>
      <c r="E122" s="180" t="s">
        <v>29</v>
      </c>
      <c r="F122" s="180">
        <v>2</v>
      </c>
      <c r="G122" s="177">
        <f t="dataTable" ref="G122:H124" dt2D="0" dtr="0" r1="F64" ca="1"/>
        <v>3055495.7286533648</v>
      </c>
      <c r="H122" s="177">
        <v>221000</v>
      </c>
      <c r="I122" s="269"/>
      <c r="J122" s="177">
        <f>G122+H122</f>
        <v>3276495.7286533648</v>
      </c>
      <c r="U122" s="160"/>
    </row>
    <row r="123" spans="4:21" s="140" customFormat="1">
      <c r="D123" s="180" t="s">
        <v>131</v>
      </c>
      <c r="E123" s="180" t="s">
        <v>29</v>
      </c>
      <c r="F123" s="180">
        <v>3</v>
      </c>
      <c r="G123" s="177">
        <v>5271972.3115760563</v>
      </c>
      <c r="H123" s="177">
        <v>500000</v>
      </c>
      <c r="I123" s="269"/>
      <c r="J123" s="177">
        <f>G123+H123</f>
        <v>5771972.3115760563</v>
      </c>
      <c r="U123" s="160"/>
    </row>
    <row r="124" spans="4:21" s="140" customFormat="1">
      <c r="D124" s="180" t="s">
        <v>23</v>
      </c>
      <c r="E124" s="180" t="s">
        <v>29</v>
      </c>
      <c r="F124" s="180">
        <v>4</v>
      </c>
      <c r="G124" s="177">
        <v>7463255.1444987487</v>
      </c>
      <c r="H124" s="177">
        <v>803500</v>
      </c>
      <c r="I124" s="269"/>
      <c r="J124" s="177">
        <f>G124+H124</f>
        <v>8266755.1444987487</v>
      </c>
      <c r="U124" s="160"/>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sheetPr codeName="Sheet23">
    <tabColor rgb="FF002060"/>
  </sheetPr>
  <dimension ref="A2:R23"/>
  <sheetViews>
    <sheetView showGridLines="0" zoomScale="85" zoomScaleNormal="85" workbookViewId="0">
      <selection activeCell="C1" sqref="C1"/>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sheetPr codeName="Sheet24"/>
  <dimension ref="A2:K44"/>
  <sheetViews>
    <sheetView showGridLines="0" zoomScale="70" zoomScaleNormal="70" workbookViewId="0">
      <selection activeCell="H22" sqref="H22"/>
    </sheetView>
  </sheetViews>
  <sheetFormatPr defaultColWidth="9.140625" defaultRowHeight="12.75"/>
  <cols>
    <col min="1" max="1" width="3.5703125" style="30" customWidth="1"/>
    <col min="2" max="2" width="9.140625" style="30"/>
    <col min="3" max="3" width="34" style="32" customWidth="1"/>
    <col min="4" max="4" width="10" style="32" customWidth="1"/>
    <col min="5" max="5" width="15.42578125" style="32" customWidth="1"/>
    <col min="6" max="6" width="41.28515625" style="50" hidden="1" customWidth="1"/>
    <col min="7" max="9" width="16" style="93" customWidth="1"/>
    <col min="10" max="16384" width="9.140625" style="30"/>
  </cols>
  <sheetData>
    <row r="2" spans="2:11">
      <c r="B2" s="30" t="s">
        <v>0</v>
      </c>
      <c r="C2" s="49" t="str">
        <f ca="1">MID(CELL("filename",A1),FIND("]",CELL("filename",A1))+1,256)</f>
        <v>USN - Process Workings</v>
      </c>
    </row>
    <row r="3" spans="2:11">
      <c r="B3" s="30" t="s">
        <v>1</v>
      </c>
      <c r="C3" s="50" t="s">
        <v>70</v>
      </c>
    </row>
    <row r="5" spans="2:11" s="51" customFormat="1">
      <c r="B5" s="51" t="s">
        <v>18</v>
      </c>
      <c r="C5" s="52" t="s">
        <v>19</v>
      </c>
      <c r="D5" s="52" t="s">
        <v>20</v>
      </c>
      <c r="E5" s="52" t="s">
        <v>52</v>
      </c>
      <c r="F5" s="53" t="s">
        <v>53</v>
      </c>
      <c r="G5" s="124" t="s">
        <v>228</v>
      </c>
      <c r="H5" s="124" t="s">
        <v>229</v>
      </c>
      <c r="I5" s="124" t="s">
        <v>230</v>
      </c>
      <c r="K5" s="190"/>
    </row>
    <row r="6" spans="2:11">
      <c r="K6" s="191"/>
    </row>
    <row r="7" spans="2:11">
      <c r="B7" s="31" t="s">
        <v>4</v>
      </c>
      <c r="C7" s="32" t="s">
        <v>21</v>
      </c>
      <c r="G7" s="125">
        <f ca="1">SUMIF($E$11:$E$201,"CAPEX",G11:G201)</f>
        <v>7500</v>
      </c>
      <c r="H7" s="125">
        <f t="shared" ref="H7:I7" ca="1" si="0">SUMIF($E$11:$E$201,"CAPEX",H11:H201)</f>
        <v>167500</v>
      </c>
      <c r="I7" s="125">
        <f t="shared" ca="1" si="0"/>
        <v>542500</v>
      </c>
    </row>
    <row r="8" spans="2:11">
      <c r="C8" s="32" t="s">
        <v>22</v>
      </c>
      <c r="G8" s="125">
        <f ca="1">SUMIF($E$11:$E$201,"OPEX",G11:G201)</f>
        <v>2590.3444338182553</v>
      </c>
      <c r="H8" s="125">
        <f t="shared" ref="H8:I8" ca="1" si="1">SUMIF($E$11:$E$201,"OPEX",H11:H201)</f>
        <v>55306.88867636511</v>
      </c>
      <c r="I8" s="125">
        <f t="shared" ca="1" si="1"/>
        <v>508292.95906669361</v>
      </c>
      <c r="J8" s="39"/>
    </row>
    <row r="9" spans="2:11">
      <c r="C9" s="141" t="s">
        <v>71</v>
      </c>
      <c r="D9" s="141"/>
      <c r="E9" s="141"/>
      <c r="F9" s="142"/>
      <c r="G9" s="141"/>
      <c r="H9" s="141"/>
      <c r="I9" s="141"/>
      <c r="J9" s="39"/>
      <c r="K9" s="187"/>
    </row>
    <row r="10" spans="2:11" s="39" customFormat="1">
      <c r="C10" s="34"/>
      <c r="D10" s="34"/>
      <c r="E10" s="34"/>
      <c r="F10" s="55"/>
      <c r="G10" s="95"/>
      <c r="H10" s="95"/>
      <c r="I10" s="95"/>
    </row>
    <row r="11" spans="2:11">
      <c r="C11" s="32" t="s">
        <v>71</v>
      </c>
      <c r="D11" s="32" t="s">
        <v>61</v>
      </c>
      <c r="E11" s="32" t="s">
        <v>57</v>
      </c>
      <c r="F11" s="50" t="str">
        <f>C11&amp;E11</f>
        <v>CRM and Knowledge ManagementCAPEX_INPUT</v>
      </c>
      <c r="G11" s="96">
        <f>'Independent Cost Inputs'!H8</f>
        <v>5</v>
      </c>
      <c r="H11" s="96">
        <f>'Independent Cost Inputs'!I8</f>
        <v>100</v>
      </c>
      <c r="I11" s="96">
        <f>'Independent Cost Inputs'!J8</f>
        <v>350</v>
      </c>
      <c r="J11" s="39"/>
    </row>
    <row r="12" spans="2:11">
      <c r="C12" s="32" t="s">
        <v>71</v>
      </c>
      <c r="D12" s="32" t="s">
        <v>56</v>
      </c>
      <c r="E12" s="32" t="s">
        <v>57</v>
      </c>
      <c r="F12" s="89" t="str">
        <f t="shared" ref="F12:F13" si="2">C12&amp;E12</f>
        <v>CRM and Knowledge ManagementCAPEX_INPUT</v>
      </c>
      <c r="G12" s="96">
        <f>'Independent Cost Inputs'!H9</f>
        <v>1</v>
      </c>
      <c r="H12" s="96">
        <f>'Independent Cost Inputs'!I9</f>
        <v>1</v>
      </c>
      <c r="I12" s="96">
        <f>'Independent Cost Inputs'!J9</f>
        <v>1</v>
      </c>
      <c r="J12" s="39"/>
    </row>
    <row r="13" spans="2:11">
      <c r="C13" s="32" t="s">
        <v>71</v>
      </c>
      <c r="D13" s="32" t="s">
        <v>56</v>
      </c>
      <c r="E13" s="32" t="s">
        <v>57</v>
      </c>
      <c r="F13" s="89" t="str">
        <f t="shared" si="2"/>
        <v>CRM and Knowledge ManagementCAPEX_INPUT</v>
      </c>
      <c r="G13" s="96">
        <f>'Independent Cost Inputs'!H10</f>
        <v>0</v>
      </c>
      <c r="H13" s="96">
        <f>'Independent Cost Inputs'!I10</f>
        <v>15</v>
      </c>
      <c r="I13" s="96">
        <f>'Independent Cost Inputs'!J10</f>
        <v>15</v>
      </c>
      <c r="J13" s="39"/>
    </row>
    <row r="14" spans="2:11">
      <c r="C14" s="32" t="s">
        <v>71</v>
      </c>
      <c r="D14" s="32" t="s">
        <v>29</v>
      </c>
      <c r="E14" s="32" t="s">
        <v>21</v>
      </c>
      <c r="F14" s="50" t="str">
        <f t="shared" ref="F14:F35" si="3">C14&amp;E14</f>
        <v>CRM and Knowledge ManagementCAPEX</v>
      </c>
      <c r="G14" s="120">
        <f ca="1">(G11*'Independent Cost Inputs'!$G$73*G12)+(G13*Day_Rate)</f>
        <v>2500</v>
      </c>
      <c r="H14" s="120">
        <f ca="1">(H11*'Independent Cost Inputs'!$G$73*H12)+(H13*Day_Rate)</f>
        <v>57500</v>
      </c>
      <c r="I14" s="120">
        <f ca="1">(I11*'Independent Cost Inputs'!$G$73*I12)+(I13*Day_Rate)</f>
        <v>182500</v>
      </c>
      <c r="J14" s="39"/>
    </row>
    <row r="15" spans="2:11">
      <c r="F15" s="50" t="str">
        <f t="shared" si="3"/>
        <v/>
      </c>
      <c r="G15" s="97"/>
      <c r="H15" s="97"/>
      <c r="I15" s="97"/>
      <c r="J15" s="39"/>
    </row>
    <row r="16" spans="2:11">
      <c r="C16" s="32" t="s">
        <v>71</v>
      </c>
      <c r="D16" s="32" t="s">
        <v>58</v>
      </c>
      <c r="E16" s="32" t="s">
        <v>59</v>
      </c>
      <c r="F16" s="50" t="str">
        <f t="shared" si="3"/>
        <v>CRM and Knowledge ManagementOPEX_INPUT</v>
      </c>
      <c r="G16" s="98">
        <f ca="1">'Independent Cost Inputs'!H11</f>
        <v>0.2</v>
      </c>
      <c r="H16" s="98">
        <f ca="1">'Independent Cost Inputs'!I11</f>
        <v>0.2</v>
      </c>
      <c r="I16" s="98">
        <f ca="1">'Independent Cost Inputs'!J11</f>
        <v>0.2</v>
      </c>
      <c r="J16" s="39"/>
    </row>
    <row r="17" spans="1:10">
      <c r="C17" s="32" t="s">
        <v>71</v>
      </c>
      <c r="D17" s="32" t="s">
        <v>29</v>
      </c>
      <c r="E17" s="32" t="s">
        <v>22</v>
      </c>
      <c r="F17" s="50" t="str">
        <f t="shared" si="3"/>
        <v>CRM and Knowledge ManagementOPEX</v>
      </c>
      <c r="G17" s="120">
        <f ca="1">G16*G14</f>
        <v>500</v>
      </c>
      <c r="H17" s="120">
        <f ca="1">H16*H14</f>
        <v>11500</v>
      </c>
      <c r="I17" s="120">
        <f ca="1">I16*I14</f>
        <v>36500</v>
      </c>
      <c r="J17" s="39"/>
    </row>
    <row r="18" spans="1:10">
      <c r="A18" s="42"/>
      <c r="B18" s="42"/>
      <c r="F18" s="50" t="str">
        <f t="shared" si="3"/>
        <v/>
      </c>
      <c r="G18" s="95"/>
      <c r="H18" s="95"/>
      <c r="I18" s="95"/>
      <c r="J18" s="39"/>
    </row>
    <row r="19" spans="1:10">
      <c r="G19" s="95"/>
      <c r="H19" s="95"/>
      <c r="I19" s="95"/>
      <c r="J19" s="39"/>
    </row>
    <row r="20" spans="1:10" ht="25.5">
      <c r="C20" s="141" t="s">
        <v>38</v>
      </c>
      <c r="D20" s="141"/>
      <c r="E20" s="141"/>
      <c r="F20" s="142" t="str">
        <f t="shared" si="3"/>
        <v>Customer Interface Management Changes</v>
      </c>
      <c r="G20" s="141"/>
      <c r="H20" s="141"/>
      <c r="I20" s="141"/>
      <c r="J20" s="39"/>
    </row>
    <row r="21" spans="1:10">
      <c r="F21" s="50" t="str">
        <f t="shared" si="3"/>
        <v/>
      </c>
      <c r="G21" s="95"/>
      <c r="H21" s="95"/>
      <c r="I21" s="95"/>
      <c r="J21" s="39"/>
    </row>
    <row r="22" spans="1:10" ht="25.5">
      <c r="C22" s="32" t="s">
        <v>38</v>
      </c>
      <c r="D22" s="32" t="s">
        <v>61</v>
      </c>
      <c r="E22" s="32" t="s">
        <v>57</v>
      </c>
      <c r="F22" s="50" t="str">
        <f>C22&amp;E22</f>
        <v>Customer Interface Management ChangesCAPEX_INPUT</v>
      </c>
      <c r="G22" s="96">
        <f>'Independent Cost Inputs'!H12</f>
        <v>5</v>
      </c>
      <c r="H22" s="96">
        <f>'Independent Cost Inputs'!I12</f>
        <v>100</v>
      </c>
      <c r="I22" s="96">
        <f>'Independent Cost Inputs'!J12</f>
        <v>350</v>
      </c>
      <c r="J22" s="39"/>
    </row>
    <row r="23" spans="1:10" ht="25.5">
      <c r="C23" s="32" t="s">
        <v>38</v>
      </c>
      <c r="D23" s="32" t="s">
        <v>56</v>
      </c>
      <c r="E23" s="32" t="s">
        <v>57</v>
      </c>
      <c r="F23" s="89" t="str">
        <f>C23&amp;E23</f>
        <v>Customer Interface Management ChangesCAPEX_INPUT</v>
      </c>
      <c r="G23" s="96">
        <f>'Independent Cost Inputs'!H13</f>
        <v>2</v>
      </c>
      <c r="H23" s="96">
        <f>'Independent Cost Inputs'!I13</f>
        <v>2</v>
      </c>
      <c r="I23" s="96">
        <f>'Independent Cost Inputs'!J13</f>
        <v>2</v>
      </c>
      <c r="J23" s="39"/>
    </row>
    <row r="24" spans="1:10" ht="25.5">
      <c r="C24" s="32" t="s">
        <v>38</v>
      </c>
      <c r="D24" s="32" t="s">
        <v>56</v>
      </c>
      <c r="E24" s="32" t="s">
        <v>57</v>
      </c>
      <c r="F24" s="89" t="str">
        <f>C24&amp;E24</f>
        <v>Customer Interface Management ChangesCAPEX_INPUT</v>
      </c>
      <c r="G24" s="96">
        <f>'Independent Cost Inputs'!H14</f>
        <v>0</v>
      </c>
      <c r="H24" s="96">
        <f>'Independent Cost Inputs'!I14</f>
        <v>20</v>
      </c>
      <c r="I24" s="96">
        <f>'Independent Cost Inputs'!J14</f>
        <v>20</v>
      </c>
      <c r="J24" s="39"/>
    </row>
    <row r="25" spans="1:10" ht="25.5">
      <c r="C25" s="32" t="s">
        <v>38</v>
      </c>
      <c r="D25" s="32" t="s">
        <v>29</v>
      </c>
      <c r="E25" s="32" t="s">
        <v>21</v>
      </c>
      <c r="F25" s="50" t="str">
        <f t="shared" ref="F25:F28" si="4">C25&amp;E25</f>
        <v>Customer Interface Management ChangesCAPEX</v>
      </c>
      <c r="G25" s="120">
        <f ca="1">(G22*'Independent Cost Inputs'!$G$73*G23)+(G24*Day_Rate)</f>
        <v>5000</v>
      </c>
      <c r="H25" s="120">
        <f ca="1">(H22*'Independent Cost Inputs'!$G$73*H23)+(H24*Day_Rate)</f>
        <v>110000</v>
      </c>
      <c r="I25" s="120">
        <f ca="1">(I22*'Independent Cost Inputs'!$G$73*I23)+(I24*Day_Rate)</f>
        <v>360000</v>
      </c>
      <c r="J25" s="39"/>
    </row>
    <row r="26" spans="1:10">
      <c r="F26" s="50" t="str">
        <f t="shared" si="4"/>
        <v/>
      </c>
      <c r="G26" s="97"/>
      <c r="H26" s="97"/>
      <c r="I26" s="97"/>
      <c r="J26" s="39"/>
    </row>
    <row r="27" spans="1:10" ht="25.5">
      <c r="C27" s="32" t="s">
        <v>38</v>
      </c>
      <c r="D27" s="32" t="s">
        <v>58</v>
      </c>
      <c r="E27" s="32" t="s">
        <v>59</v>
      </c>
      <c r="F27" s="50" t="str">
        <f t="shared" si="4"/>
        <v>Customer Interface Management ChangesOPEX_INPUT</v>
      </c>
      <c r="G27" s="98">
        <f ca="1">'Independent Cost Inputs'!H15</f>
        <v>0.2</v>
      </c>
      <c r="H27" s="98">
        <f ca="1">'Independent Cost Inputs'!I15</f>
        <v>0.2</v>
      </c>
      <c r="I27" s="98">
        <f ca="1">'Independent Cost Inputs'!J15</f>
        <v>0.2</v>
      </c>
      <c r="J27" s="39"/>
    </row>
    <row r="28" spans="1:10" ht="25.5">
      <c r="C28" s="32" t="s">
        <v>38</v>
      </c>
      <c r="D28" s="32" t="s">
        <v>29</v>
      </c>
      <c r="E28" s="32" t="s">
        <v>22</v>
      </c>
      <c r="F28" s="50" t="str">
        <f t="shared" si="4"/>
        <v>Customer Interface Management ChangesOPEX</v>
      </c>
      <c r="G28" s="120">
        <f ca="1">G27*G25</f>
        <v>1000</v>
      </c>
      <c r="H28" s="120">
        <f ca="1">H27*H25</f>
        <v>22000</v>
      </c>
      <c r="I28" s="120">
        <f ca="1">I27*I25</f>
        <v>72000</v>
      </c>
      <c r="J28" s="39"/>
    </row>
    <row r="29" spans="1:10">
      <c r="G29" s="99"/>
      <c r="H29" s="99"/>
      <c r="I29" s="99"/>
      <c r="J29" s="39"/>
    </row>
    <row r="30" spans="1:10">
      <c r="C30" s="141" t="s">
        <v>39</v>
      </c>
      <c r="D30" s="141"/>
      <c r="E30" s="141"/>
      <c r="F30" s="142" t="str">
        <f t="shared" ref="F30" si="5">C30&amp;E30</f>
        <v>Order Handling Changes</v>
      </c>
      <c r="G30" s="141"/>
      <c r="H30" s="141"/>
      <c r="I30" s="141"/>
      <c r="J30" s="39"/>
    </row>
    <row r="31" spans="1:10">
      <c r="F31" s="50" t="str">
        <f t="shared" si="3"/>
        <v/>
      </c>
      <c r="G31" s="95"/>
      <c r="H31" s="95"/>
      <c r="I31" s="95"/>
      <c r="J31" s="39"/>
    </row>
    <row r="32" spans="1:10">
      <c r="C32" s="34" t="s">
        <v>39</v>
      </c>
      <c r="D32" s="32" t="s">
        <v>76</v>
      </c>
      <c r="E32" s="32" t="s">
        <v>59</v>
      </c>
      <c r="F32" s="50" t="str">
        <f t="shared" si="3"/>
        <v>Order Handling ChangesOPEX_INPUT</v>
      </c>
      <c r="G32" s="96">
        <f>'Independent Cost Inputs'!H18</f>
        <v>18</v>
      </c>
      <c r="H32" s="96">
        <f>'Independent Cost Inputs'!I18</f>
        <v>18</v>
      </c>
      <c r="I32" s="96">
        <f>'Independent Cost Inputs'!J18</f>
        <v>18</v>
      </c>
      <c r="J32" s="39"/>
    </row>
    <row r="33" spans="3:11">
      <c r="C33" s="34" t="s">
        <v>39</v>
      </c>
      <c r="D33" s="32" t="s">
        <v>76</v>
      </c>
      <c r="E33" s="32" t="s">
        <v>59</v>
      </c>
      <c r="F33" s="50" t="str">
        <f t="shared" si="3"/>
        <v>Order Handling ChangesOPEX_INPUT</v>
      </c>
      <c r="G33" s="126">
        <f>'USN - Process Workings'!G32-Call_Time_Blend</f>
        <v>3.5189004150531282</v>
      </c>
      <c r="H33" s="126">
        <f>'USN - Process Workings'!H32-Call_Time_Blend</f>
        <v>3.5189004150531282</v>
      </c>
      <c r="I33" s="126">
        <f>'USN - Process Workings'!I32-Call_Time_Blend</f>
        <v>3.5189004150531282</v>
      </c>
      <c r="J33" s="39"/>
    </row>
    <row r="34" spans="3:11">
      <c r="C34" s="34" t="s">
        <v>39</v>
      </c>
      <c r="D34" s="32" t="s">
        <v>29</v>
      </c>
      <c r="E34" s="32" t="s">
        <v>59</v>
      </c>
      <c r="F34" s="89" t="str">
        <f t="shared" si="3"/>
        <v>Order Handling ChangesOPEX_INPUT</v>
      </c>
      <c r="G34" s="327">
        <f ca="1">'Independent Cost Inputs'!$G$78</f>
        <v>0.36</v>
      </c>
      <c r="H34" s="327">
        <f ca="1">'Independent Cost Inputs'!$G$78</f>
        <v>0.36</v>
      </c>
      <c r="I34" s="327">
        <f ca="1">'Independent Cost Inputs'!$G$78</f>
        <v>0.36</v>
      </c>
      <c r="J34" s="39"/>
    </row>
    <row r="35" spans="3:11">
      <c r="C35" s="34" t="s">
        <v>39</v>
      </c>
      <c r="D35" s="32" t="s">
        <v>29</v>
      </c>
      <c r="E35" s="32" t="s">
        <v>22</v>
      </c>
      <c r="F35" s="50" t="str">
        <f t="shared" si="3"/>
        <v>Order Handling ChangesOPEX</v>
      </c>
      <c r="G35" s="120">
        <f ca="1">(G33*G34*Switches_Low)*(1-OnlineSalesPc)</f>
        <v>1090.3444338182553</v>
      </c>
      <c r="H35" s="120">
        <f ca="1">H33*H34*Switches_Medium*(1-OnlineSalesPc)</f>
        <v>21806.888676365106</v>
      </c>
      <c r="I35" s="120">
        <f ca="1">I33*I34*Switches_High*(1-OnlineSalesPc)</f>
        <v>399792.95906669361</v>
      </c>
      <c r="J35" s="39"/>
    </row>
    <row r="36" spans="3:11">
      <c r="G36" s="95"/>
      <c r="H36" s="95"/>
      <c r="I36" s="95"/>
      <c r="J36" s="39"/>
    </row>
    <row r="44" spans="3:11">
      <c r="F44" s="32"/>
      <c r="G44" s="32"/>
      <c r="H44" s="89"/>
      <c r="I44" s="327"/>
      <c r="J44" s="327"/>
      <c r="K44" s="327"/>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25"/>
  <dimension ref="B2:P83"/>
  <sheetViews>
    <sheetView showGridLines="0" zoomScale="70" zoomScaleNormal="70" workbookViewId="0">
      <selection activeCell="G36" sqref="G36"/>
    </sheetView>
  </sheetViews>
  <sheetFormatPr defaultColWidth="9.140625" defaultRowHeight="12.75"/>
  <cols>
    <col min="1" max="1" width="3.5703125" style="30" customWidth="1"/>
    <col min="2" max="2" width="17.28515625" style="30" customWidth="1"/>
    <col min="3" max="3" width="34" style="32" customWidth="1"/>
    <col min="4" max="4" width="10" style="32" customWidth="1"/>
    <col min="5" max="5" width="15.42578125" style="32" customWidth="1"/>
    <col min="6" max="6" width="19.5703125" style="50" hidden="1" customWidth="1"/>
    <col min="7" max="9" width="16" style="32" customWidth="1"/>
    <col min="10" max="16384" width="9.140625" style="30"/>
  </cols>
  <sheetData>
    <row r="2" spans="2:10">
      <c r="B2" s="30" t="s">
        <v>0</v>
      </c>
      <c r="C2" s="49" t="str">
        <f ca="1">MID(CELL("filename",A1),FIND("]",CELL("filename",A1))+1,256)</f>
        <v>USN - Systems Workings</v>
      </c>
    </row>
    <row r="3" spans="2:10">
      <c r="B3" s="30" t="s">
        <v>1</v>
      </c>
      <c r="C3" s="32" t="s">
        <v>77</v>
      </c>
    </row>
    <row r="5" spans="2:10" s="51" customFormat="1">
      <c r="B5" s="51" t="s">
        <v>18</v>
      </c>
      <c r="C5" s="52" t="s">
        <v>19</v>
      </c>
      <c r="D5" s="52" t="s">
        <v>20</v>
      </c>
      <c r="E5" s="52" t="s">
        <v>52</v>
      </c>
      <c r="F5" s="53" t="s">
        <v>53</v>
      </c>
      <c r="G5" s="124" t="s">
        <v>228</v>
      </c>
      <c r="H5" s="124" t="s">
        <v>229</v>
      </c>
      <c r="I5" s="124" t="s">
        <v>230</v>
      </c>
    </row>
    <row r="7" spans="2:10">
      <c r="B7" s="31" t="s">
        <v>4</v>
      </c>
      <c r="C7" s="32" t="s">
        <v>21</v>
      </c>
      <c r="G7" s="125">
        <f ca="1">SUMIF($E$11:$E$200,"CAPEX",G11:G200)</f>
        <v>0</v>
      </c>
      <c r="H7" s="125">
        <f t="shared" ref="H7:I7" ca="1" si="0">SUMIF($E$11:$E$200,"CAPEX",H11:H200)</f>
        <v>420000</v>
      </c>
      <c r="I7" s="125">
        <f t="shared" ca="1" si="0"/>
        <v>1130000</v>
      </c>
    </row>
    <row r="8" spans="2:10">
      <c r="C8" s="32" t="s">
        <v>22</v>
      </c>
      <c r="G8" s="125">
        <f ca="1">SUMIF($E$11:$E$200,"OPEX",G11:G200)</f>
        <v>0</v>
      </c>
      <c r="H8" s="125">
        <f t="shared" ref="H8:I8" ca="1" si="1">SUMIF($E$11:$E$200,"OPEX",H11:H200)</f>
        <v>74000</v>
      </c>
      <c r="I8" s="125">
        <f t="shared" ca="1" si="1"/>
        <v>186000</v>
      </c>
    </row>
    <row r="9" spans="2:10">
      <c r="C9" s="141" t="s">
        <v>28</v>
      </c>
      <c r="D9" s="141"/>
      <c r="E9" s="141"/>
      <c r="F9" s="141"/>
      <c r="G9" s="141"/>
      <c r="H9" s="141"/>
      <c r="I9" s="141"/>
      <c r="J9" s="31"/>
    </row>
    <row r="10" spans="2:10" s="39" customFormat="1">
      <c r="C10" s="34"/>
      <c r="D10" s="34"/>
      <c r="E10" s="34"/>
      <c r="F10" s="55"/>
      <c r="G10" s="34"/>
      <c r="H10" s="34"/>
      <c r="I10" s="34"/>
    </row>
    <row r="11" spans="2:10">
      <c r="C11" s="32" t="s">
        <v>28</v>
      </c>
      <c r="D11" s="32" t="s">
        <v>56</v>
      </c>
      <c r="E11" s="32" t="s">
        <v>57</v>
      </c>
      <c r="F11" s="50" t="str">
        <f>C11&amp;E11</f>
        <v>CRM ChangesCAPEX_INPUT</v>
      </c>
      <c r="G11" s="96">
        <f>'Independent Cost Inputs'!H21</f>
        <v>0</v>
      </c>
      <c r="H11" s="96">
        <f>'Independent Cost Inputs'!I21</f>
        <v>200</v>
      </c>
      <c r="I11" s="96">
        <f>'Independent Cost Inputs'!J21</f>
        <v>500</v>
      </c>
    </row>
    <row r="12" spans="2:10">
      <c r="C12" s="32" t="s">
        <v>28</v>
      </c>
      <c r="D12" s="32" t="s">
        <v>29</v>
      </c>
      <c r="E12" s="32" t="s">
        <v>57</v>
      </c>
      <c r="F12" s="50" t="str">
        <f t="shared" ref="F12:F66" si="2">C12&amp;E12</f>
        <v>CRM ChangesCAPEX_INPUT</v>
      </c>
      <c r="G12" s="96">
        <f>'Independent Cost Inputs'!H22</f>
        <v>0</v>
      </c>
      <c r="H12" s="96">
        <f>'Independent Cost Inputs'!I22</f>
        <v>20000</v>
      </c>
      <c r="I12" s="96">
        <f>'Independent Cost Inputs'!J22</f>
        <v>50000</v>
      </c>
      <c r="J12" s="31"/>
    </row>
    <row r="13" spans="2:10">
      <c r="C13" s="32" t="s">
        <v>28</v>
      </c>
      <c r="D13" s="32" t="s">
        <v>29</v>
      </c>
      <c r="E13" s="32" t="s">
        <v>21</v>
      </c>
      <c r="F13" s="50" t="str">
        <f t="shared" si="2"/>
        <v>CRM ChangesCAPEX</v>
      </c>
      <c r="G13" s="120">
        <f ca="1">(G11*Day_Rate)+G12</f>
        <v>0</v>
      </c>
      <c r="H13" s="120">
        <f ca="1">(H11*Day_Rate)+H12</f>
        <v>120000</v>
      </c>
      <c r="I13" s="120">
        <f ca="1">(I11*Day_Rate)+I12</f>
        <v>300000</v>
      </c>
      <c r="J13" s="61"/>
    </row>
    <row r="14" spans="2:10">
      <c r="F14" s="50" t="str">
        <f t="shared" si="2"/>
        <v/>
      </c>
      <c r="G14" s="97"/>
      <c r="H14" s="97"/>
      <c r="I14" s="97"/>
      <c r="J14" s="31"/>
    </row>
    <row r="15" spans="2:10">
      <c r="C15" s="32" t="s">
        <v>28</v>
      </c>
      <c r="D15" s="32" t="s">
        <v>58</v>
      </c>
      <c r="E15" s="32" t="s">
        <v>59</v>
      </c>
      <c r="F15" s="50" t="str">
        <f t="shared" si="2"/>
        <v>CRM ChangesOPEX_INPUT</v>
      </c>
      <c r="G15" s="98">
        <f ca="1">'Independent Cost Inputs'!H23</f>
        <v>0.2</v>
      </c>
      <c r="H15" s="98">
        <f ca="1">'Independent Cost Inputs'!I23</f>
        <v>0.2</v>
      </c>
      <c r="I15" s="98">
        <f ca="1">'Independent Cost Inputs'!J23</f>
        <v>0.2</v>
      </c>
      <c r="J15" s="31"/>
    </row>
    <row r="16" spans="2:10">
      <c r="C16" s="32" t="s">
        <v>28</v>
      </c>
      <c r="D16" s="32" t="s">
        <v>29</v>
      </c>
      <c r="E16" s="32" t="s">
        <v>22</v>
      </c>
      <c r="F16" s="50" t="str">
        <f t="shared" si="2"/>
        <v>CRM ChangesOPEX</v>
      </c>
      <c r="G16" s="120">
        <f ca="1">G15*G13</f>
        <v>0</v>
      </c>
      <c r="H16" s="120">
        <f ca="1">H15*H13</f>
        <v>24000</v>
      </c>
      <c r="I16" s="120">
        <f ca="1">I15*I13</f>
        <v>60000</v>
      </c>
      <c r="J16" s="31"/>
    </row>
    <row r="17" spans="3:16">
      <c r="C17" s="34"/>
      <c r="G17" s="95"/>
      <c r="H17" s="95"/>
      <c r="I17" s="95"/>
    </row>
    <row r="18" spans="3:16">
      <c r="C18" s="141" t="s">
        <v>30</v>
      </c>
      <c r="D18" s="141"/>
      <c r="E18" s="141"/>
      <c r="F18" s="141"/>
      <c r="G18" s="143"/>
      <c r="H18" s="143"/>
      <c r="I18" s="143"/>
    </row>
    <row r="19" spans="3:16">
      <c r="F19" s="50" t="str">
        <f t="shared" si="2"/>
        <v/>
      </c>
      <c r="G19" s="95"/>
      <c r="H19" s="95"/>
      <c r="I19" s="95"/>
    </row>
    <row r="20" spans="3:16">
      <c r="C20" s="32" t="s">
        <v>30</v>
      </c>
      <c r="D20" s="32" t="s">
        <v>29</v>
      </c>
      <c r="E20" s="32" t="s">
        <v>21</v>
      </c>
      <c r="F20" s="50" t="str">
        <f t="shared" si="2"/>
        <v>Bill CalculationCAPEX</v>
      </c>
      <c r="G20" s="120">
        <f>'Independent Cost Inputs'!H24</f>
        <v>0</v>
      </c>
      <c r="H20" s="120">
        <f>'Independent Cost Inputs'!I24</f>
        <v>50000</v>
      </c>
      <c r="I20" s="120">
        <f>'Independent Cost Inputs'!J24</f>
        <v>200000</v>
      </c>
      <c r="J20" s="31"/>
    </row>
    <row r="21" spans="3:16">
      <c r="F21" s="50" t="str">
        <f t="shared" si="2"/>
        <v/>
      </c>
      <c r="G21" s="95"/>
      <c r="H21" s="95"/>
      <c r="I21" s="95"/>
      <c r="J21" s="61"/>
    </row>
    <row r="22" spans="3:16">
      <c r="C22" s="141" t="s">
        <v>31</v>
      </c>
      <c r="D22" s="141"/>
      <c r="E22" s="141"/>
      <c r="F22" s="141"/>
      <c r="G22" s="143"/>
      <c r="H22" s="143"/>
      <c r="I22" s="143"/>
      <c r="J22" s="31"/>
    </row>
    <row r="23" spans="3:16">
      <c r="F23" s="50" t="str">
        <f t="shared" si="2"/>
        <v/>
      </c>
      <c r="G23" s="95"/>
      <c r="H23" s="95"/>
      <c r="I23" s="95"/>
    </row>
    <row r="24" spans="3:16">
      <c r="C24" s="32" t="s">
        <v>31</v>
      </c>
      <c r="D24" s="32" t="s">
        <v>56</v>
      </c>
      <c r="E24" s="32" t="s">
        <v>57</v>
      </c>
      <c r="F24" s="50" t="str">
        <f t="shared" si="2"/>
        <v>Customer Order Management ChangesCAPEX_INPUT</v>
      </c>
      <c r="G24" s="96">
        <f>'Independent Cost Inputs'!H25</f>
        <v>0</v>
      </c>
      <c r="H24" s="96">
        <f>'Independent Cost Inputs'!I25</f>
        <v>160</v>
      </c>
      <c r="I24" s="96">
        <f>'Independent Cost Inputs'!J25</f>
        <v>300</v>
      </c>
      <c r="J24" s="31"/>
      <c r="P24" s="61"/>
    </row>
    <row r="25" spans="3:16">
      <c r="C25" s="32" t="s">
        <v>31</v>
      </c>
      <c r="D25" s="32" t="s">
        <v>29</v>
      </c>
      <c r="E25" s="32" t="s">
        <v>57</v>
      </c>
      <c r="F25" s="50" t="str">
        <f t="shared" si="2"/>
        <v>Customer Order Management ChangesCAPEX_INPUT</v>
      </c>
      <c r="G25" s="96">
        <f>'Independent Cost Inputs'!H26</f>
        <v>0</v>
      </c>
      <c r="H25" s="96">
        <f>'Independent Cost Inputs'!I26</f>
        <v>20000</v>
      </c>
      <c r="I25" s="96">
        <f>'Independent Cost Inputs'!J26</f>
        <v>50000</v>
      </c>
      <c r="J25" s="31"/>
      <c r="O25" s="61"/>
    </row>
    <row r="26" spans="3:16">
      <c r="C26" s="32" t="s">
        <v>31</v>
      </c>
      <c r="D26" s="32" t="s">
        <v>29</v>
      </c>
      <c r="E26" s="32" t="s">
        <v>21</v>
      </c>
      <c r="F26" s="50" t="str">
        <f t="shared" si="2"/>
        <v>Customer Order Management ChangesCAPEX</v>
      </c>
      <c r="G26" s="120">
        <f ca="1">(G24*Day_Rate)+G25</f>
        <v>0</v>
      </c>
      <c r="H26" s="120">
        <f ca="1">(H24*Day_Rate)+H25</f>
        <v>100000</v>
      </c>
      <c r="I26" s="120">
        <f ca="1">(I24*Day_Rate)+I25</f>
        <v>200000</v>
      </c>
    </row>
    <row r="27" spans="3:16">
      <c r="F27" s="50" t="str">
        <f t="shared" si="2"/>
        <v/>
      </c>
      <c r="G27" s="95"/>
      <c r="H27" s="95"/>
      <c r="I27" s="95"/>
    </row>
    <row r="28" spans="3:16">
      <c r="C28" s="32" t="s">
        <v>31</v>
      </c>
      <c r="D28" s="32" t="s">
        <v>58</v>
      </c>
      <c r="E28" s="60" t="s">
        <v>59</v>
      </c>
      <c r="F28" s="50" t="str">
        <f t="shared" si="2"/>
        <v>Customer Order Management ChangesOPEX_INPUT</v>
      </c>
      <c r="G28" s="98">
        <f ca="1">'Independent Cost Inputs'!H27</f>
        <v>0.2</v>
      </c>
      <c r="H28" s="98">
        <f ca="1">'Independent Cost Inputs'!I27</f>
        <v>0.2</v>
      </c>
      <c r="I28" s="98">
        <f ca="1">'Independent Cost Inputs'!J27</f>
        <v>0.2</v>
      </c>
    </row>
    <row r="29" spans="3:16">
      <c r="C29" s="32" t="s">
        <v>31</v>
      </c>
      <c r="D29" s="32" t="s">
        <v>29</v>
      </c>
      <c r="E29" s="32" t="s">
        <v>22</v>
      </c>
      <c r="F29" s="50" t="str">
        <f t="shared" si="2"/>
        <v>Customer Order Management ChangesOPEX</v>
      </c>
      <c r="G29" s="120">
        <f ca="1">G28*G26</f>
        <v>0</v>
      </c>
      <c r="H29" s="120">
        <f ca="1">H28*H26</f>
        <v>20000</v>
      </c>
      <c r="I29" s="120">
        <f ca="1">I28*I26</f>
        <v>40000</v>
      </c>
    </row>
    <row r="30" spans="3:16">
      <c r="G30" s="97"/>
      <c r="H30" s="97"/>
      <c r="I30" s="97"/>
    </row>
    <row r="31" spans="3:16">
      <c r="C31" s="141" t="s">
        <v>32</v>
      </c>
      <c r="D31" s="141"/>
      <c r="E31" s="141"/>
      <c r="F31" s="141"/>
      <c r="G31" s="143"/>
      <c r="H31" s="143"/>
      <c r="I31" s="143"/>
    </row>
    <row r="32" spans="3:16">
      <c r="F32" s="50" t="str">
        <f t="shared" si="2"/>
        <v/>
      </c>
      <c r="G32" s="95"/>
      <c r="H32" s="95"/>
      <c r="I32" s="95"/>
    </row>
    <row r="33" spans="3:10">
      <c r="C33" s="32" t="s">
        <v>32</v>
      </c>
      <c r="D33" s="32" t="s">
        <v>56</v>
      </c>
      <c r="E33" s="32" t="s">
        <v>57</v>
      </c>
      <c r="F33" s="50" t="str">
        <f t="shared" si="2"/>
        <v>Service Order Management ChangesCAPEX_INPUT</v>
      </c>
      <c r="G33" s="96">
        <f>'Independent Cost Inputs'!H28</f>
        <v>0</v>
      </c>
      <c r="H33" s="96">
        <f>'Independent Cost Inputs'!I28</f>
        <v>60</v>
      </c>
      <c r="I33" s="96">
        <f>'Independent Cost Inputs'!J28</f>
        <v>300</v>
      </c>
      <c r="J33" s="31"/>
    </row>
    <row r="34" spans="3:10">
      <c r="C34" s="32" t="s">
        <v>32</v>
      </c>
      <c r="D34" s="32" t="s">
        <v>29</v>
      </c>
      <c r="E34" s="32" t="s">
        <v>57</v>
      </c>
      <c r="F34" s="50" t="str">
        <f t="shared" si="2"/>
        <v>Service Order Management ChangesCAPEX_INPUT</v>
      </c>
      <c r="G34" s="96">
        <f>'Independent Cost Inputs'!H29</f>
        <v>0</v>
      </c>
      <c r="H34" s="96">
        <f>'Independent Cost Inputs'!I29</f>
        <v>10000</v>
      </c>
      <c r="I34" s="96">
        <f>'Independent Cost Inputs'!J29</f>
        <v>40000</v>
      </c>
      <c r="J34" s="61"/>
    </row>
    <row r="35" spans="3:10">
      <c r="C35" s="32" t="s">
        <v>32</v>
      </c>
      <c r="D35" s="32" t="s">
        <v>29</v>
      </c>
      <c r="E35" s="32" t="s">
        <v>21</v>
      </c>
      <c r="F35" s="50" t="str">
        <f t="shared" si="2"/>
        <v>Service Order Management ChangesCAPEX</v>
      </c>
      <c r="G35" s="120">
        <f ca="1">(G33*Day_Rate)+G34</f>
        <v>0</v>
      </c>
      <c r="H35" s="120">
        <f ca="1">(H33*Day_Rate)+H34</f>
        <v>40000</v>
      </c>
      <c r="I35" s="120">
        <f ca="1">(I33*Day_Rate)+I34</f>
        <v>190000</v>
      </c>
    </row>
    <row r="36" spans="3:10">
      <c r="F36" s="50" t="str">
        <f t="shared" si="2"/>
        <v/>
      </c>
      <c r="G36" s="95"/>
      <c r="H36" s="95"/>
      <c r="I36" s="95"/>
    </row>
    <row r="37" spans="3:10">
      <c r="C37" s="32" t="s">
        <v>32</v>
      </c>
      <c r="D37" s="32" t="s">
        <v>58</v>
      </c>
      <c r="E37" s="60" t="s">
        <v>59</v>
      </c>
      <c r="F37" s="50" t="str">
        <f t="shared" si="2"/>
        <v>Service Order Management ChangesOPEX_INPUT</v>
      </c>
      <c r="G37" s="98">
        <f ca="1">'Independent Cost Inputs'!H30</f>
        <v>0.2</v>
      </c>
      <c r="H37" s="98">
        <f ca="1">'Independent Cost Inputs'!I30</f>
        <v>0.2</v>
      </c>
      <c r="I37" s="98">
        <f ca="1">'Independent Cost Inputs'!J30</f>
        <v>0.2</v>
      </c>
    </row>
    <row r="38" spans="3:10">
      <c r="C38" s="32" t="s">
        <v>32</v>
      </c>
      <c r="D38" s="32" t="s">
        <v>29</v>
      </c>
      <c r="E38" s="32" t="s">
        <v>22</v>
      </c>
      <c r="F38" s="50" t="str">
        <f t="shared" si="2"/>
        <v>Service Order Management ChangesOPEX</v>
      </c>
      <c r="G38" s="120">
        <f ca="1">G37*G35</f>
        <v>0</v>
      </c>
      <c r="H38" s="120">
        <f ca="1">H37*H35</f>
        <v>8000</v>
      </c>
      <c r="I38" s="120">
        <f ca="1">I37*I35</f>
        <v>38000</v>
      </c>
    </row>
    <row r="39" spans="3:10">
      <c r="F39" s="50" t="str">
        <f t="shared" si="2"/>
        <v/>
      </c>
      <c r="G39" s="95"/>
      <c r="H39" s="95"/>
      <c r="I39" s="95"/>
    </row>
    <row r="40" spans="3:10">
      <c r="C40" s="141" t="s">
        <v>33</v>
      </c>
      <c r="D40" s="141"/>
      <c r="E40" s="141"/>
      <c r="F40" s="141"/>
      <c r="G40" s="143"/>
      <c r="H40" s="143"/>
      <c r="I40" s="143"/>
      <c r="J40" s="31"/>
    </row>
    <row r="41" spans="3:10">
      <c r="F41" s="50" t="str">
        <f t="shared" si="2"/>
        <v/>
      </c>
      <c r="G41" s="95"/>
      <c r="H41" s="95"/>
      <c r="I41" s="95"/>
      <c r="J41" s="61"/>
    </row>
    <row r="42" spans="3:10">
      <c r="C42" s="32" t="s">
        <v>33</v>
      </c>
      <c r="D42" s="32" t="s">
        <v>56</v>
      </c>
      <c r="E42" s="32" t="s">
        <v>57</v>
      </c>
      <c r="F42" s="50" t="str">
        <f t="shared" si="2"/>
        <v>Partner Management ChangesCAPEX_INPUT</v>
      </c>
      <c r="G42" s="96">
        <f>'Independent Cost Inputs'!H31</f>
        <v>0</v>
      </c>
      <c r="H42" s="96">
        <f>'Independent Cost Inputs'!I31</f>
        <v>70</v>
      </c>
      <c r="I42" s="96">
        <f>'Independent Cost Inputs'!J31</f>
        <v>150</v>
      </c>
    </row>
    <row r="43" spans="3:10">
      <c r="C43" s="32" t="s">
        <v>33</v>
      </c>
      <c r="D43" s="32" t="s">
        <v>29</v>
      </c>
      <c r="E43" s="32" t="s">
        <v>57</v>
      </c>
      <c r="F43" s="50" t="str">
        <f t="shared" si="2"/>
        <v>Partner Management ChangesCAPEX_INPUT</v>
      </c>
      <c r="G43" s="96">
        <f>'Independent Cost Inputs'!H32</f>
        <v>0</v>
      </c>
      <c r="H43" s="96">
        <f>'Independent Cost Inputs'!I32</f>
        <v>0</v>
      </c>
      <c r="I43" s="96">
        <f>'Independent Cost Inputs'!J32</f>
        <v>0</v>
      </c>
    </row>
    <row r="44" spans="3:10">
      <c r="C44" s="32" t="s">
        <v>33</v>
      </c>
      <c r="D44" s="32" t="s">
        <v>29</v>
      </c>
      <c r="E44" s="32" t="s">
        <v>21</v>
      </c>
      <c r="F44" s="50" t="str">
        <f t="shared" si="2"/>
        <v>Partner Management ChangesCAPEX</v>
      </c>
      <c r="G44" s="120">
        <f ca="1">(G42*Day_Rate)+G43</f>
        <v>0</v>
      </c>
      <c r="H44" s="120">
        <f ca="1">(H42*Day_Rate)+H43</f>
        <v>35000</v>
      </c>
      <c r="I44" s="120">
        <f ca="1">(I42*Day_Rate)+I43</f>
        <v>75000</v>
      </c>
    </row>
    <row r="45" spans="3:10">
      <c r="F45" s="50" t="str">
        <f t="shared" si="2"/>
        <v/>
      </c>
      <c r="G45" s="95"/>
      <c r="H45" s="95"/>
      <c r="I45" s="95"/>
    </row>
    <row r="46" spans="3:10">
      <c r="C46" s="32" t="s">
        <v>33</v>
      </c>
      <c r="D46" s="32" t="s">
        <v>58</v>
      </c>
      <c r="E46" s="60" t="s">
        <v>59</v>
      </c>
      <c r="F46" s="50" t="str">
        <f t="shared" si="2"/>
        <v>Partner Management ChangesOPEX_INPUT</v>
      </c>
      <c r="G46" s="98">
        <f ca="1">'Independent Cost Inputs'!H33</f>
        <v>0.2</v>
      </c>
      <c r="H46" s="98">
        <f ca="1">'Independent Cost Inputs'!I33</f>
        <v>0.2</v>
      </c>
      <c r="I46" s="98">
        <f ca="1">'Independent Cost Inputs'!J33</f>
        <v>0.2</v>
      </c>
    </row>
    <row r="47" spans="3:10">
      <c r="C47" s="32" t="s">
        <v>33</v>
      </c>
      <c r="D47" s="32" t="s">
        <v>29</v>
      </c>
      <c r="E47" s="32" t="s">
        <v>22</v>
      </c>
      <c r="F47" s="50" t="str">
        <f t="shared" si="2"/>
        <v>Partner Management ChangesOPEX</v>
      </c>
      <c r="G47" s="120">
        <f ca="1">G46*G44</f>
        <v>0</v>
      </c>
      <c r="H47" s="120">
        <f ca="1">H46*H44</f>
        <v>7000</v>
      </c>
      <c r="I47" s="120">
        <f ca="1">I46*I44</f>
        <v>15000</v>
      </c>
    </row>
    <row r="48" spans="3:10">
      <c r="F48" s="50" t="str">
        <f t="shared" si="2"/>
        <v/>
      </c>
      <c r="G48" s="95"/>
      <c r="H48" s="95"/>
      <c r="I48" s="95"/>
    </row>
    <row r="49" spans="3:10">
      <c r="C49" s="141" t="s">
        <v>34</v>
      </c>
      <c r="D49" s="141"/>
      <c r="E49" s="141"/>
      <c r="F49" s="141"/>
      <c r="G49" s="143"/>
      <c r="H49" s="143"/>
      <c r="I49" s="143"/>
      <c r="J49" s="31"/>
    </row>
    <row r="50" spans="3:10">
      <c r="F50" s="50" t="str">
        <f t="shared" si="2"/>
        <v/>
      </c>
      <c r="G50" s="95"/>
      <c r="H50" s="95"/>
      <c r="I50" s="95"/>
      <c r="J50" s="61"/>
    </row>
    <row r="51" spans="3:10">
      <c r="C51" s="32" t="s">
        <v>34</v>
      </c>
      <c r="D51" s="32" t="s">
        <v>56</v>
      </c>
      <c r="E51" s="32" t="s">
        <v>57</v>
      </c>
      <c r="F51" s="50" t="str">
        <f t="shared" si="2"/>
        <v>Customer Problem Management ChangesCAPEX_INPUT</v>
      </c>
      <c r="G51" s="96">
        <f>'Independent Cost Inputs'!H34</f>
        <v>0</v>
      </c>
      <c r="H51" s="96">
        <f>'Independent Cost Inputs'!I34</f>
        <v>70</v>
      </c>
      <c r="I51" s="96">
        <f>'Independent Cost Inputs'!J34</f>
        <v>150</v>
      </c>
    </row>
    <row r="52" spans="3:10">
      <c r="C52" s="32" t="s">
        <v>34</v>
      </c>
      <c r="D52" s="32" t="s">
        <v>29</v>
      </c>
      <c r="E52" s="32" t="s">
        <v>57</v>
      </c>
      <c r="F52" s="50" t="str">
        <f t="shared" si="2"/>
        <v>Customer Problem Management ChangesCAPEX_INPUT</v>
      </c>
      <c r="G52" s="96">
        <f>'Independent Cost Inputs'!H35</f>
        <v>0</v>
      </c>
      <c r="H52" s="96">
        <f>'Independent Cost Inputs'!I35</f>
        <v>0</v>
      </c>
      <c r="I52" s="96">
        <f>'Independent Cost Inputs'!J35</f>
        <v>0</v>
      </c>
    </row>
    <row r="53" spans="3:10">
      <c r="C53" s="32" t="s">
        <v>34</v>
      </c>
      <c r="D53" s="32" t="s">
        <v>29</v>
      </c>
      <c r="E53" s="32" t="s">
        <v>21</v>
      </c>
      <c r="F53" s="50" t="str">
        <f t="shared" si="2"/>
        <v>Customer Problem Management ChangesCAPEX</v>
      </c>
      <c r="G53" s="120">
        <f ca="1">(G51*Day_Rate)+G52</f>
        <v>0</v>
      </c>
      <c r="H53" s="120">
        <f ca="1">(H51*Day_Rate)+H52</f>
        <v>35000</v>
      </c>
      <c r="I53" s="120">
        <f ca="1">(I51*Day_Rate)+I52</f>
        <v>75000</v>
      </c>
    </row>
    <row r="54" spans="3:10">
      <c r="F54" s="50" t="str">
        <f t="shared" si="2"/>
        <v/>
      </c>
      <c r="G54" s="95"/>
      <c r="H54" s="95"/>
      <c r="I54" s="95"/>
    </row>
    <row r="55" spans="3:10">
      <c r="C55" s="32" t="s">
        <v>34</v>
      </c>
      <c r="D55" s="32" t="s">
        <v>58</v>
      </c>
      <c r="E55" s="60" t="s">
        <v>59</v>
      </c>
      <c r="F55" s="50" t="str">
        <f t="shared" si="2"/>
        <v>Customer Problem Management ChangesOPEX_INPUT</v>
      </c>
      <c r="G55" s="98">
        <f ca="1">'Independent Cost Inputs'!H36</f>
        <v>0.2</v>
      </c>
      <c r="H55" s="98">
        <f ca="1">'Independent Cost Inputs'!I36</f>
        <v>0.2</v>
      </c>
      <c r="I55" s="98">
        <f ca="1">'Independent Cost Inputs'!J36</f>
        <v>0.2</v>
      </c>
    </row>
    <row r="56" spans="3:10">
      <c r="C56" s="32" t="s">
        <v>34</v>
      </c>
      <c r="D56" s="32" t="s">
        <v>29</v>
      </c>
      <c r="E56" s="32" t="s">
        <v>22</v>
      </c>
      <c r="F56" s="50" t="str">
        <f t="shared" si="2"/>
        <v>Customer Problem Management ChangesOPEX</v>
      </c>
      <c r="G56" s="120">
        <f ca="1">G55*G53</f>
        <v>0</v>
      </c>
      <c r="H56" s="120">
        <f ca="1">H55*H53</f>
        <v>7000</v>
      </c>
      <c r="I56" s="120">
        <f ca="1">I55*I53</f>
        <v>15000</v>
      </c>
    </row>
    <row r="57" spans="3:10">
      <c r="F57" s="50" t="str">
        <f t="shared" si="2"/>
        <v/>
      </c>
      <c r="G57" s="95"/>
      <c r="H57" s="95"/>
      <c r="I57" s="95"/>
    </row>
    <row r="58" spans="3:10">
      <c r="C58" s="141" t="s">
        <v>35</v>
      </c>
      <c r="D58" s="141"/>
      <c r="E58" s="141"/>
      <c r="F58" s="141"/>
      <c r="G58" s="143"/>
      <c r="H58" s="143"/>
      <c r="I58" s="143"/>
      <c r="J58" s="31"/>
    </row>
    <row r="59" spans="3:10">
      <c r="F59" s="50" t="str">
        <f t="shared" si="2"/>
        <v/>
      </c>
      <c r="G59" s="95"/>
      <c r="H59" s="95"/>
      <c r="I59" s="95"/>
      <c r="J59" s="61"/>
    </row>
    <row r="60" spans="3:10">
      <c r="C60" s="32" t="s">
        <v>35</v>
      </c>
      <c r="D60" s="32" t="s">
        <v>56</v>
      </c>
      <c r="E60" s="32" t="s">
        <v>57</v>
      </c>
      <c r="F60" s="50" t="str">
        <f t="shared" si="2"/>
        <v>Service Problem Management ChangesCAPEX_INPUT</v>
      </c>
      <c r="G60" s="96">
        <f>'Independent Cost Inputs'!H37</f>
        <v>0</v>
      </c>
      <c r="H60" s="96">
        <f>'Independent Cost Inputs'!I37</f>
        <v>20</v>
      </c>
      <c r="I60" s="96">
        <f>'Independent Cost Inputs'!J37</f>
        <v>60</v>
      </c>
    </row>
    <row r="61" spans="3:10">
      <c r="C61" s="32" t="s">
        <v>35</v>
      </c>
      <c r="D61" s="32" t="s">
        <v>29</v>
      </c>
      <c r="E61" s="32" t="s">
        <v>57</v>
      </c>
      <c r="F61" s="50" t="str">
        <f t="shared" si="2"/>
        <v>Service Problem Management ChangesCAPEX_INPUT</v>
      </c>
      <c r="G61" s="96">
        <f>'Independent Cost Inputs'!H38</f>
        <v>0</v>
      </c>
      <c r="H61" s="96">
        <f>'Independent Cost Inputs'!I38</f>
        <v>0</v>
      </c>
      <c r="I61" s="96">
        <f>'Independent Cost Inputs'!J38</f>
        <v>0</v>
      </c>
    </row>
    <row r="62" spans="3:10">
      <c r="C62" s="32" t="s">
        <v>35</v>
      </c>
      <c r="D62" s="32" t="s">
        <v>29</v>
      </c>
      <c r="E62" s="32" t="s">
        <v>21</v>
      </c>
      <c r="F62" s="50" t="str">
        <f t="shared" si="2"/>
        <v>Service Problem Management ChangesCAPEX</v>
      </c>
      <c r="G62" s="120">
        <f ca="1">(G60*Day_Rate)+G61</f>
        <v>0</v>
      </c>
      <c r="H62" s="120">
        <f ca="1">(H60*Day_Rate)+H61</f>
        <v>10000</v>
      </c>
      <c r="I62" s="120">
        <f ca="1">(I60*Day_Rate)+I61</f>
        <v>30000</v>
      </c>
    </row>
    <row r="63" spans="3:10">
      <c r="F63" s="50" t="str">
        <f t="shared" si="2"/>
        <v/>
      </c>
      <c r="G63" s="95"/>
      <c r="H63" s="95"/>
      <c r="I63" s="95"/>
    </row>
    <row r="64" spans="3:10">
      <c r="C64" s="32" t="s">
        <v>35</v>
      </c>
      <c r="D64" s="32" t="s">
        <v>58</v>
      </c>
      <c r="E64" s="60" t="s">
        <v>59</v>
      </c>
      <c r="F64" s="50" t="str">
        <f t="shared" si="2"/>
        <v>Service Problem Management ChangesOPEX_INPUT</v>
      </c>
      <c r="G64" s="98">
        <f ca="1">'Independent Cost Inputs'!H39</f>
        <v>0.2</v>
      </c>
      <c r="H64" s="98">
        <f ca="1">'Independent Cost Inputs'!I39</f>
        <v>0.2</v>
      </c>
      <c r="I64" s="98">
        <f ca="1">'Independent Cost Inputs'!J39</f>
        <v>0.2</v>
      </c>
    </row>
    <row r="65" spans="3:9">
      <c r="C65" s="32" t="s">
        <v>35</v>
      </c>
      <c r="D65" s="32" t="s">
        <v>29</v>
      </c>
      <c r="E65" s="32" t="s">
        <v>22</v>
      </c>
      <c r="F65" s="50" t="str">
        <f t="shared" si="2"/>
        <v>Service Problem Management ChangesOPEX</v>
      </c>
      <c r="G65" s="120">
        <f ca="1">G64*G62</f>
        <v>0</v>
      </c>
      <c r="H65" s="120">
        <f ca="1">H64*H62</f>
        <v>2000</v>
      </c>
      <c r="I65" s="120">
        <f ca="1">I64*I62</f>
        <v>6000</v>
      </c>
    </row>
    <row r="66" spans="3:9">
      <c r="F66" s="50" t="str">
        <f t="shared" si="2"/>
        <v/>
      </c>
      <c r="G66" s="95"/>
      <c r="H66" s="95"/>
      <c r="I66" s="95"/>
    </row>
    <row r="67" spans="3:9">
      <c r="C67" s="141" t="s">
        <v>312</v>
      </c>
      <c r="D67" s="141"/>
      <c r="E67" s="141"/>
      <c r="F67" s="141"/>
      <c r="G67" s="143"/>
      <c r="H67" s="143"/>
      <c r="I67" s="143"/>
    </row>
    <row r="68" spans="3:9">
      <c r="F68" s="89" t="str">
        <f t="shared" ref="F68:F83" si="3">C68&amp;E68</f>
        <v/>
      </c>
      <c r="G68" s="95"/>
      <c r="H68" s="95"/>
      <c r="I68" s="95"/>
    </row>
    <row r="69" spans="3:9">
      <c r="C69" s="32" t="s">
        <v>312</v>
      </c>
      <c r="D69" s="32" t="s">
        <v>56</v>
      </c>
      <c r="E69" s="32" t="s">
        <v>57</v>
      </c>
      <c r="F69" s="89" t="str">
        <f t="shared" si="3"/>
        <v>Transactional Document ProductionCAPEX_INPUT</v>
      </c>
      <c r="G69" s="96">
        <f>'Independent Cost Inputs'!H40</f>
        <v>0</v>
      </c>
      <c r="H69" s="96">
        <f>'Independent Cost Inputs'!I40</f>
        <v>0</v>
      </c>
      <c r="I69" s="96">
        <f>'Independent Cost Inputs'!J40</f>
        <v>0</v>
      </c>
    </row>
    <row r="70" spans="3:9">
      <c r="C70" s="32" t="s">
        <v>312</v>
      </c>
      <c r="D70" s="32" t="s">
        <v>29</v>
      </c>
      <c r="E70" s="32" t="s">
        <v>57</v>
      </c>
      <c r="F70" s="89" t="str">
        <f t="shared" si="3"/>
        <v>Transactional Document ProductionCAPEX_INPUT</v>
      </c>
      <c r="G70" s="96">
        <f>'Independent Cost Inputs'!H41</f>
        <v>0</v>
      </c>
      <c r="H70" s="96">
        <f>'Independent Cost Inputs'!I41</f>
        <v>0</v>
      </c>
      <c r="I70" s="96">
        <f>'Independent Cost Inputs'!J41</f>
        <v>0</v>
      </c>
    </row>
    <row r="71" spans="3:9">
      <c r="C71" s="32" t="s">
        <v>312</v>
      </c>
      <c r="D71" s="32" t="s">
        <v>29</v>
      </c>
      <c r="E71" s="32" t="s">
        <v>21</v>
      </c>
      <c r="F71" s="89" t="str">
        <f t="shared" si="3"/>
        <v>Transactional Document ProductionCAPEX</v>
      </c>
      <c r="G71" s="120">
        <f ca="1">(G69*Day_Rate)+G70</f>
        <v>0</v>
      </c>
      <c r="H71" s="120">
        <f ca="1">(H69*Day_Rate)+H70</f>
        <v>0</v>
      </c>
      <c r="I71" s="120">
        <f ca="1">(I69*Day_Rate)+I70</f>
        <v>0</v>
      </c>
    </row>
    <row r="72" spans="3:9">
      <c r="F72" s="89" t="str">
        <f t="shared" si="3"/>
        <v/>
      </c>
      <c r="G72" s="95"/>
      <c r="H72" s="95"/>
      <c r="I72" s="95"/>
    </row>
    <row r="73" spans="3:9">
      <c r="C73" s="32" t="s">
        <v>312</v>
      </c>
      <c r="D73" s="32" t="s">
        <v>58</v>
      </c>
      <c r="E73" s="60" t="s">
        <v>59</v>
      </c>
      <c r="F73" s="89" t="str">
        <f t="shared" si="3"/>
        <v>Transactional Document ProductionOPEX_INPUT</v>
      </c>
      <c r="G73" s="98">
        <f>'Independent Cost Inputs'!H42</f>
        <v>0</v>
      </c>
      <c r="H73" s="98">
        <f>'Independent Cost Inputs'!I42</f>
        <v>0</v>
      </c>
      <c r="I73" s="98">
        <f>'Independent Cost Inputs'!J42</f>
        <v>0</v>
      </c>
    </row>
    <row r="74" spans="3:9">
      <c r="C74" s="32" t="s">
        <v>312</v>
      </c>
      <c r="D74" s="32" t="s">
        <v>29</v>
      </c>
      <c r="E74" s="32" t="s">
        <v>22</v>
      </c>
      <c r="F74" s="89" t="str">
        <f t="shared" si="3"/>
        <v>Transactional Document ProductionOPEX</v>
      </c>
      <c r="G74" s="120">
        <f ca="1">G73*G71</f>
        <v>0</v>
      </c>
      <c r="H74" s="120">
        <f ca="1">H73*H71</f>
        <v>0</v>
      </c>
      <c r="I74" s="120">
        <f ca="1">I73*I71</f>
        <v>0</v>
      </c>
    </row>
    <row r="75" spans="3:9">
      <c r="F75" s="89" t="str">
        <f t="shared" si="3"/>
        <v/>
      </c>
      <c r="G75" s="95"/>
      <c r="H75" s="95"/>
      <c r="I75" s="95"/>
    </row>
    <row r="76" spans="3:9">
      <c r="C76" s="141" t="s">
        <v>313</v>
      </c>
      <c r="D76" s="141"/>
      <c r="E76" s="141"/>
      <c r="F76" s="141"/>
      <c r="G76" s="143"/>
      <c r="H76" s="143"/>
      <c r="I76" s="143"/>
    </row>
    <row r="77" spans="3:9">
      <c r="F77" s="89" t="str">
        <f t="shared" si="3"/>
        <v/>
      </c>
      <c r="G77" s="95"/>
      <c r="H77" s="95"/>
      <c r="I77" s="95"/>
    </row>
    <row r="78" spans="3:9">
      <c r="C78" s="32" t="s">
        <v>313</v>
      </c>
      <c r="D78" s="32" t="s">
        <v>56</v>
      </c>
      <c r="E78" s="32" t="s">
        <v>57</v>
      </c>
      <c r="F78" s="89" t="str">
        <f t="shared" si="3"/>
        <v>Customer Self ManagementCAPEX_INPUT</v>
      </c>
      <c r="G78" s="96">
        <f>'Independent Cost Inputs'!H43</f>
        <v>0</v>
      </c>
      <c r="H78" s="96">
        <f>'Independent Cost Inputs'!I43</f>
        <v>60</v>
      </c>
      <c r="I78" s="96">
        <f>'Independent Cost Inputs'!J43</f>
        <v>120</v>
      </c>
    </row>
    <row r="79" spans="3:9">
      <c r="C79" s="32" t="s">
        <v>313</v>
      </c>
      <c r="D79" s="32" t="s">
        <v>29</v>
      </c>
      <c r="E79" s="32" t="s">
        <v>57</v>
      </c>
      <c r="F79" s="89" t="str">
        <f t="shared" si="3"/>
        <v>Customer Self ManagementCAPEX_INPUT</v>
      </c>
      <c r="G79" s="96">
        <f>'Independent Cost Inputs'!H44</f>
        <v>0</v>
      </c>
      <c r="H79" s="96">
        <f>'Independent Cost Inputs'!I44</f>
        <v>0</v>
      </c>
      <c r="I79" s="96">
        <f>'Independent Cost Inputs'!J44</f>
        <v>0</v>
      </c>
    </row>
    <row r="80" spans="3:9">
      <c r="C80" s="32" t="s">
        <v>313</v>
      </c>
      <c r="D80" s="32" t="s">
        <v>29</v>
      </c>
      <c r="E80" s="32" t="s">
        <v>21</v>
      </c>
      <c r="F80" s="89" t="str">
        <f t="shared" si="3"/>
        <v>Customer Self ManagementCAPEX</v>
      </c>
      <c r="G80" s="120">
        <f ca="1">(G78*Day_Rate)+G79</f>
        <v>0</v>
      </c>
      <c r="H80" s="120">
        <f ca="1">(H78*Day_Rate)+H79</f>
        <v>30000</v>
      </c>
      <c r="I80" s="120">
        <f ca="1">(I78*Day_Rate)+I79</f>
        <v>60000</v>
      </c>
    </row>
    <row r="81" spans="3:9">
      <c r="F81" s="89" t="str">
        <f t="shared" si="3"/>
        <v/>
      </c>
      <c r="G81" s="95"/>
      <c r="H81" s="95"/>
      <c r="I81" s="95"/>
    </row>
    <row r="82" spans="3:9">
      <c r="C82" s="32" t="s">
        <v>313</v>
      </c>
      <c r="D82" s="32" t="s">
        <v>58</v>
      </c>
      <c r="E82" s="60" t="s">
        <v>59</v>
      </c>
      <c r="F82" s="89" t="str">
        <f t="shared" si="3"/>
        <v>Customer Self ManagementOPEX_INPUT</v>
      </c>
      <c r="G82" s="98">
        <f ca="1">'Independent Cost Inputs'!H45</f>
        <v>0.2</v>
      </c>
      <c r="H82" s="98">
        <f ca="1">'Independent Cost Inputs'!I45</f>
        <v>0.2</v>
      </c>
      <c r="I82" s="98">
        <f ca="1">'Independent Cost Inputs'!J45</f>
        <v>0.2</v>
      </c>
    </row>
    <row r="83" spans="3:9">
      <c r="C83" s="32" t="s">
        <v>313</v>
      </c>
      <c r="D83" s="32" t="s">
        <v>29</v>
      </c>
      <c r="E83" s="32" t="s">
        <v>22</v>
      </c>
      <c r="F83" s="89" t="str">
        <f t="shared" si="3"/>
        <v>Customer Self ManagementOPEX</v>
      </c>
      <c r="G83" s="120">
        <f ca="1">G82*G80</f>
        <v>0</v>
      </c>
      <c r="H83" s="120">
        <f ca="1">H82*H80</f>
        <v>6000</v>
      </c>
      <c r="I83" s="120">
        <f ca="1">I82*I80</f>
        <v>12000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26"/>
  <dimension ref="A2:I141"/>
  <sheetViews>
    <sheetView showGridLines="0" zoomScale="70" zoomScaleNormal="70" workbookViewId="0">
      <selection activeCell="F1" sqref="F1:F1048576"/>
    </sheetView>
  </sheetViews>
  <sheetFormatPr defaultColWidth="9.140625" defaultRowHeight="12.75"/>
  <cols>
    <col min="1" max="1" width="3.5703125" style="30" customWidth="1"/>
    <col min="2" max="2" width="9.140625" style="30"/>
    <col min="3" max="3" width="34" style="32" customWidth="1"/>
    <col min="4" max="4" width="10" style="32" customWidth="1"/>
    <col min="5" max="5" width="15.42578125" style="32" customWidth="1"/>
    <col min="6" max="6" width="19.5703125" style="50" hidden="1" customWidth="1"/>
    <col min="7" max="9" width="16" style="32" customWidth="1"/>
    <col min="10" max="16384" width="9.140625" style="30"/>
  </cols>
  <sheetData>
    <row r="2" spans="2:9">
      <c r="B2" s="30" t="s">
        <v>0</v>
      </c>
      <c r="C2" s="49" t="str">
        <f ca="1">MID(CELL("filename",A1),FIND("]",CELL("filename",A1))+1,256)</f>
        <v>USN - Central Costs</v>
      </c>
    </row>
    <row r="3" spans="2:9">
      <c r="B3" s="30" t="s">
        <v>1</v>
      </c>
      <c r="C3" s="50" t="s">
        <v>51</v>
      </c>
    </row>
    <row r="5" spans="2:9" s="51" customFormat="1">
      <c r="B5" s="51" t="s">
        <v>18</v>
      </c>
      <c r="C5" s="52" t="s">
        <v>19</v>
      </c>
      <c r="D5" s="52" t="s">
        <v>20</v>
      </c>
      <c r="E5" s="52" t="s">
        <v>52</v>
      </c>
      <c r="F5" s="53" t="s">
        <v>53</v>
      </c>
      <c r="G5" s="124" t="s">
        <v>50</v>
      </c>
      <c r="H5" s="124" t="s">
        <v>131</v>
      </c>
      <c r="I5" s="124" t="s">
        <v>23</v>
      </c>
    </row>
    <row r="7" spans="2:9">
      <c r="B7" s="31" t="s">
        <v>4</v>
      </c>
      <c r="C7" s="32" t="s">
        <v>21</v>
      </c>
      <c r="G7" s="125">
        <f ca="1">SUMIF($E$11:$E$202,"CAPEX",G11:G202)</f>
        <v>1640000</v>
      </c>
      <c r="H7" s="125">
        <f t="shared" ref="H7:I7" ca="1" si="0">SUMIF($E$11:$E$202,"CAPEX",H11:H202)</f>
        <v>1940000</v>
      </c>
      <c r="I7" s="125">
        <f t="shared" ca="1" si="0"/>
        <v>2337500</v>
      </c>
    </row>
    <row r="8" spans="2:9">
      <c r="C8" s="32" t="s">
        <v>22</v>
      </c>
      <c r="G8" s="125">
        <f ca="1">SUMIF($E$11:$E$202,"OPEX",G11:G202)</f>
        <v>772500</v>
      </c>
      <c r="H8" s="125">
        <f t="shared" ref="H8:I8" ca="1" si="1">SUMIF($E$11:$E$202,"OPEX",H11:H202)</f>
        <v>1055000</v>
      </c>
      <c r="I8" s="125">
        <f t="shared" ca="1" si="1"/>
        <v>1587500</v>
      </c>
    </row>
    <row r="9" spans="2:9">
      <c r="C9" s="141" t="s">
        <v>42</v>
      </c>
      <c r="D9" s="141"/>
      <c r="E9" s="141"/>
      <c r="F9" s="142"/>
      <c r="G9" s="141"/>
      <c r="H9" s="141"/>
      <c r="I9" s="141"/>
    </row>
    <row r="10" spans="2:9" s="39" customFormat="1">
      <c r="C10" s="34"/>
      <c r="D10" s="34"/>
      <c r="E10" s="34"/>
      <c r="F10" s="55"/>
      <c r="G10" s="34"/>
      <c r="H10" s="34"/>
      <c r="I10" s="34"/>
    </row>
    <row r="11" spans="2:9">
      <c r="C11" s="32" t="s">
        <v>42</v>
      </c>
      <c r="D11" s="32" t="s">
        <v>56</v>
      </c>
      <c r="E11" s="32" t="s">
        <v>57</v>
      </c>
      <c r="F11" s="50" t="str">
        <f t="shared" ref="F11:F17" si="2">C11&amp;E11</f>
        <v>Hub System CostsCAPEX_INPUT</v>
      </c>
      <c r="G11" s="96">
        <f>'Independent Cost Inputs'!H54</f>
        <v>2200</v>
      </c>
      <c r="H11" s="96">
        <f>'Independent Cost Inputs'!I54</f>
        <v>2500</v>
      </c>
      <c r="I11" s="96">
        <f>'Independent Cost Inputs'!J54</f>
        <v>3000</v>
      </c>
    </row>
    <row r="12" spans="2:9">
      <c r="C12" s="32" t="s">
        <v>42</v>
      </c>
      <c r="D12" s="32" t="s">
        <v>29</v>
      </c>
      <c r="E12" s="32" t="s">
        <v>57</v>
      </c>
      <c r="F12" s="50" t="str">
        <f t="shared" si="2"/>
        <v>Hub System CostsCAPEX_INPUT</v>
      </c>
      <c r="G12" s="96">
        <f>'Independent Cost Inputs'!H55</f>
        <v>150000</v>
      </c>
      <c r="H12" s="96">
        <f>'Independent Cost Inputs'!I55</f>
        <v>200000</v>
      </c>
      <c r="I12" s="96">
        <f>'Independent Cost Inputs'!J55</f>
        <v>225000</v>
      </c>
    </row>
    <row r="13" spans="2:9">
      <c r="C13" s="32" t="s">
        <v>42</v>
      </c>
      <c r="D13" s="32" t="s">
        <v>29</v>
      </c>
      <c r="E13" s="32" t="s">
        <v>21</v>
      </c>
      <c r="F13" s="50" t="str">
        <f t="shared" si="2"/>
        <v>Hub System CostsCAPEX</v>
      </c>
      <c r="G13" s="120">
        <f ca="1">(G11*Day_Rate)+G12</f>
        <v>1250000</v>
      </c>
      <c r="H13" s="120">
        <f ca="1">(H11*Day_Rate)+H12</f>
        <v>1450000</v>
      </c>
      <c r="I13" s="120">
        <f ca="1">(I11*Day_Rate)+I12</f>
        <v>1725000</v>
      </c>
    </row>
    <row r="14" spans="2:9">
      <c r="F14" s="50" t="str">
        <f t="shared" si="2"/>
        <v/>
      </c>
      <c r="G14" s="97"/>
      <c r="H14" s="97"/>
      <c r="I14" s="97"/>
    </row>
    <row r="15" spans="2:9">
      <c r="C15" s="32" t="s">
        <v>42</v>
      </c>
      <c r="D15" s="32" t="s">
        <v>58</v>
      </c>
      <c r="E15" s="32" t="s">
        <v>59</v>
      </c>
      <c r="F15" s="50" t="str">
        <f t="shared" si="2"/>
        <v>Hub System CostsOPEX_INPUT</v>
      </c>
      <c r="G15" s="98">
        <f>'Independent Cost Inputs'!H56</f>
        <v>0.15</v>
      </c>
      <c r="H15" s="98">
        <f ca="1">'Independent Cost Inputs'!I56</f>
        <v>0.2</v>
      </c>
      <c r="I15" s="98">
        <f>'Independent Cost Inputs'!J56</f>
        <v>0.25</v>
      </c>
    </row>
    <row r="16" spans="2:9">
      <c r="C16" s="32" t="s">
        <v>42</v>
      </c>
      <c r="D16" s="32" t="s">
        <v>29</v>
      </c>
      <c r="E16" s="32" t="s">
        <v>22</v>
      </c>
      <c r="F16" s="50" t="str">
        <f t="shared" si="2"/>
        <v>Hub System CostsOPEX</v>
      </c>
      <c r="G16" s="121">
        <f ca="1">G15*G13</f>
        <v>187500</v>
      </c>
      <c r="H16" s="121">
        <f ca="1">H15*H13</f>
        <v>290000</v>
      </c>
      <c r="I16" s="121">
        <f ca="1">I15*I13</f>
        <v>431250</v>
      </c>
    </row>
    <row r="17" spans="1:9">
      <c r="A17" s="42"/>
      <c r="B17" s="42"/>
      <c r="F17" s="50" t="str">
        <f t="shared" si="2"/>
        <v/>
      </c>
      <c r="G17" s="95"/>
      <c r="H17" s="95"/>
      <c r="I17" s="95"/>
    </row>
    <row r="18" spans="1:9">
      <c r="A18" s="42"/>
      <c r="B18" s="42"/>
      <c r="C18" s="141" t="s">
        <v>45</v>
      </c>
      <c r="D18" s="141"/>
      <c r="E18" s="141"/>
      <c r="F18" s="142"/>
      <c r="G18" s="141"/>
      <c r="H18" s="141"/>
      <c r="I18" s="141"/>
    </row>
    <row r="19" spans="1:9">
      <c r="A19" s="42"/>
      <c r="B19" s="42"/>
      <c r="G19" s="95"/>
      <c r="H19" s="95"/>
      <c r="I19" s="95"/>
    </row>
    <row r="20" spans="1:9">
      <c r="A20" s="42"/>
      <c r="B20" s="42"/>
      <c r="C20" s="34" t="s">
        <v>45</v>
      </c>
      <c r="D20" s="32" t="s">
        <v>61</v>
      </c>
      <c r="E20" s="32" t="s">
        <v>62</v>
      </c>
      <c r="F20" s="50" t="str">
        <f>C20&amp;E20</f>
        <v>Hub Process CostsCAPEX _INPUT</v>
      </c>
      <c r="G20" s="116">
        <f>'Independent Cost Inputs'!H57</f>
        <v>15</v>
      </c>
      <c r="H20" s="116">
        <f>'Independent Cost Inputs'!I57</f>
        <v>20</v>
      </c>
      <c r="I20" s="116">
        <f>'Independent Cost Inputs'!J57</f>
        <v>20</v>
      </c>
    </row>
    <row r="21" spans="1:9">
      <c r="A21" s="42"/>
      <c r="B21" s="42"/>
      <c r="C21" s="34" t="s">
        <v>45</v>
      </c>
      <c r="D21" s="32" t="s">
        <v>61</v>
      </c>
      <c r="E21" s="32" t="s">
        <v>62</v>
      </c>
      <c r="F21" s="89"/>
      <c r="G21" s="116">
        <f>'Independent Cost Inputs'!H58</f>
        <v>10</v>
      </c>
      <c r="H21" s="116">
        <f>'Independent Cost Inputs'!I58</f>
        <v>10</v>
      </c>
      <c r="I21" s="116">
        <f>'Independent Cost Inputs'!J58</f>
        <v>15</v>
      </c>
    </row>
    <row r="22" spans="1:9">
      <c r="C22" s="34" t="s">
        <v>45</v>
      </c>
      <c r="D22" s="32" t="s">
        <v>29</v>
      </c>
      <c r="E22" s="32" t="s">
        <v>21</v>
      </c>
      <c r="F22" s="50" t="str">
        <f>C22&amp;E22</f>
        <v>Hub Process CostsCAPEX</v>
      </c>
      <c r="G22" s="120">
        <f ca="1">G20*Day_Rate*G21</f>
        <v>75000</v>
      </c>
      <c r="H22" s="120">
        <f ca="1">H20*Day_Rate*H21</f>
        <v>100000</v>
      </c>
      <c r="I22" s="120">
        <f ca="1">I20*Day_Rate*I21</f>
        <v>150000</v>
      </c>
    </row>
    <row r="23" spans="1:9">
      <c r="F23" s="50" t="str">
        <f>C23&amp;E23</f>
        <v/>
      </c>
      <c r="G23" s="95"/>
      <c r="H23" s="95"/>
      <c r="I23" s="95"/>
    </row>
    <row r="24" spans="1:9">
      <c r="C24" s="34" t="s">
        <v>45</v>
      </c>
      <c r="D24" s="32" t="s">
        <v>29</v>
      </c>
      <c r="E24" s="60" t="s">
        <v>59</v>
      </c>
      <c r="F24" s="50" t="str">
        <f>C24&amp;E24</f>
        <v>Hub Process CostsOPEX_INPUT</v>
      </c>
      <c r="G24" s="119">
        <f>'Independent Cost Inputs'!H59</f>
        <v>0.5</v>
      </c>
      <c r="H24" s="119">
        <f>'Independent Cost Inputs'!I59</f>
        <v>0.5</v>
      </c>
      <c r="I24" s="119">
        <f>'Independent Cost Inputs'!J59</f>
        <v>0.7</v>
      </c>
    </row>
    <row r="25" spans="1:9">
      <c r="C25" s="34" t="s">
        <v>45</v>
      </c>
      <c r="D25" s="32" t="s">
        <v>29</v>
      </c>
      <c r="E25" s="32" t="s">
        <v>22</v>
      </c>
      <c r="F25" s="50" t="str">
        <f>C25&amp;E25</f>
        <v>Hub Process CostsOPEX</v>
      </c>
      <c r="G25" s="120">
        <f ca="1">G20*G24*FTE_Cost</f>
        <v>450000</v>
      </c>
      <c r="H25" s="120">
        <f ca="1">H20*H24*FTE_Cost</f>
        <v>600000</v>
      </c>
      <c r="I25" s="120">
        <f ca="1">I20*I24*FTE_Cost</f>
        <v>840000</v>
      </c>
    </row>
    <row r="26" spans="1:9">
      <c r="G26" s="95"/>
      <c r="H26" s="95"/>
      <c r="I26" s="95"/>
    </row>
    <row r="27" spans="1:9">
      <c r="C27" s="141" t="s">
        <v>44</v>
      </c>
      <c r="D27" s="141"/>
      <c r="E27" s="141"/>
      <c r="F27" s="142"/>
      <c r="G27" s="141"/>
      <c r="H27" s="141"/>
      <c r="I27" s="141"/>
    </row>
    <row r="28" spans="1:9">
      <c r="F28" s="50" t="str">
        <f t="shared" ref="F28:F43" si="3">C28&amp;E28</f>
        <v/>
      </c>
      <c r="G28" s="95"/>
      <c r="H28" s="95"/>
      <c r="I28" s="95"/>
    </row>
    <row r="29" spans="1:9">
      <c r="C29" s="32" t="s">
        <v>44</v>
      </c>
      <c r="D29" s="32" t="s">
        <v>56</v>
      </c>
      <c r="E29" s="32" t="s">
        <v>57</v>
      </c>
      <c r="F29" s="50" t="str">
        <f t="shared" si="3"/>
        <v>CCS System CostsCAPEX_INPUT</v>
      </c>
      <c r="G29" s="117">
        <f>'Independent Cost Inputs'!H60</f>
        <v>400</v>
      </c>
      <c r="H29" s="117">
        <f>'Independent Cost Inputs'!I60</f>
        <v>500</v>
      </c>
      <c r="I29" s="117">
        <f>'Independent Cost Inputs'!J60</f>
        <v>550</v>
      </c>
    </row>
    <row r="30" spans="1:9">
      <c r="C30" s="32" t="s">
        <v>44</v>
      </c>
      <c r="D30" s="32" t="s">
        <v>29</v>
      </c>
      <c r="E30" s="32" t="s">
        <v>57</v>
      </c>
      <c r="F30" s="50" t="str">
        <f t="shared" si="3"/>
        <v>CCS System CostsCAPEX_INPUT</v>
      </c>
      <c r="G30" s="117">
        <f>'Independent Cost Inputs'!H61</f>
        <v>100000</v>
      </c>
      <c r="H30" s="117">
        <f>'Independent Cost Inputs'!I61</f>
        <v>125000</v>
      </c>
      <c r="I30" s="117">
        <f>'Independent Cost Inputs'!J61</f>
        <v>150000</v>
      </c>
    </row>
    <row r="31" spans="1:9">
      <c r="C31" s="32" t="s">
        <v>44</v>
      </c>
      <c r="D31" s="32" t="s">
        <v>29</v>
      </c>
      <c r="E31" s="32" t="s">
        <v>21</v>
      </c>
      <c r="F31" s="50" t="str">
        <f t="shared" si="3"/>
        <v>CCS System CostsCAPEX</v>
      </c>
      <c r="G31" s="120">
        <f ca="1">(G29*Day_Rate)+G30</f>
        <v>300000</v>
      </c>
      <c r="H31" s="120">
        <f ca="1">(H29*Day_Rate)+H30</f>
        <v>375000</v>
      </c>
      <c r="I31" s="120">
        <f ca="1">(I29*Day_Rate)+I30</f>
        <v>425000</v>
      </c>
    </row>
    <row r="32" spans="1:9">
      <c r="F32" s="50" t="str">
        <f t="shared" si="3"/>
        <v/>
      </c>
      <c r="G32" s="95"/>
      <c r="H32" s="95"/>
      <c r="I32" s="95"/>
    </row>
    <row r="33" spans="3:9">
      <c r="C33" s="32" t="s">
        <v>44</v>
      </c>
      <c r="D33" s="32" t="s">
        <v>58</v>
      </c>
      <c r="E33" s="60" t="s">
        <v>59</v>
      </c>
      <c r="F33" s="50" t="str">
        <f t="shared" si="3"/>
        <v>CCS System CostsOPEX_INPUT</v>
      </c>
      <c r="G33" s="98">
        <f>'Independent Cost Inputs'!H62</f>
        <v>0.15</v>
      </c>
      <c r="H33" s="98">
        <f ca="1">'Independent Cost Inputs'!I62</f>
        <v>0.2</v>
      </c>
      <c r="I33" s="98">
        <f>'Independent Cost Inputs'!J62</f>
        <v>0.25</v>
      </c>
    </row>
    <row r="34" spans="3:9">
      <c r="C34" s="32" t="s">
        <v>44</v>
      </c>
      <c r="D34" s="32" t="s">
        <v>29</v>
      </c>
      <c r="E34" s="32" t="s">
        <v>22</v>
      </c>
      <c r="F34" s="50" t="str">
        <f t="shared" si="3"/>
        <v>CCS System CostsOPEX</v>
      </c>
      <c r="G34" s="120">
        <f ca="1">G33*G31</f>
        <v>45000</v>
      </c>
      <c r="H34" s="120">
        <f ca="1">H33*H31</f>
        <v>75000</v>
      </c>
      <c r="I34" s="120">
        <f ca="1">I33*I31</f>
        <v>106250</v>
      </c>
    </row>
    <row r="35" spans="3:9">
      <c r="F35" s="50" t="str">
        <f t="shared" si="3"/>
        <v/>
      </c>
      <c r="G35" s="95"/>
      <c r="H35" s="95"/>
      <c r="I35" s="95"/>
    </row>
    <row r="36" spans="3:9">
      <c r="C36" s="141" t="s">
        <v>47</v>
      </c>
      <c r="D36" s="141"/>
      <c r="E36" s="141"/>
      <c r="F36" s="142"/>
      <c r="G36" s="141"/>
      <c r="H36" s="141"/>
      <c r="I36" s="141"/>
    </row>
    <row r="37" spans="3:9">
      <c r="F37" s="50" t="str">
        <f t="shared" si="3"/>
        <v/>
      </c>
      <c r="G37" s="95"/>
      <c r="H37" s="95"/>
      <c r="I37" s="95"/>
    </row>
    <row r="38" spans="3:9">
      <c r="C38" s="32" t="s">
        <v>47</v>
      </c>
      <c r="D38" s="32" t="s">
        <v>61</v>
      </c>
      <c r="E38" s="32" t="s">
        <v>57</v>
      </c>
      <c r="F38" s="50" t="str">
        <f t="shared" si="3"/>
        <v>CCS Process CostsCAPEX_INPUT</v>
      </c>
      <c r="G38" s="118">
        <f>'Independent Cost Inputs'!H63</f>
        <v>3</v>
      </c>
      <c r="H38" s="118">
        <f>'Independent Cost Inputs'!I63</f>
        <v>3</v>
      </c>
      <c r="I38" s="118">
        <f>'Independent Cost Inputs'!J63</f>
        <v>5</v>
      </c>
    </row>
    <row r="39" spans="3:9">
      <c r="C39" s="32" t="s">
        <v>47</v>
      </c>
      <c r="D39" s="32" t="s">
        <v>61</v>
      </c>
      <c r="E39" s="32" t="s">
        <v>57</v>
      </c>
      <c r="F39" s="89" t="str">
        <f t="shared" si="3"/>
        <v>CCS Process CostsCAPEX_INPUT</v>
      </c>
      <c r="G39" s="326">
        <f>'Independent Cost Inputs'!H64</f>
        <v>10</v>
      </c>
      <c r="H39" s="326">
        <f>'Independent Cost Inputs'!I64</f>
        <v>10</v>
      </c>
      <c r="I39" s="326">
        <f>'Independent Cost Inputs'!J64</f>
        <v>15</v>
      </c>
    </row>
    <row r="40" spans="3:9">
      <c r="C40" s="32" t="s">
        <v>47</v>
      </c>
      <c r="D40" s="32" t="s">
        <v>29</v>
      </c>
      <c r="E40" s="32" t="s">
        <v>21</v>
      </c>
      <c r="F40" s="50" t="str">
        <f t="shared" si="3"/>
        <v>CCS Process CostsCAPEX</v>
      </c>
      <c r="G40" s="120">
        <f ca="1">G38*Day_Rate*G39</f>
        <v>15000</v>
      </c>
      <c r="H40" s="120">
        <f ca="1">H38*Day_Rate*H39</f>
        <v>15000</v>
      </c>
      <c r="I40" s="120">
        <f ca="1">I38*Day_Rate*I39</f>
        <v>37500</v>
      </c>
    </row>
    <row r="41" spans="3:9">
      <c r="C41" s="32" t="s">
        <v>47</v>
      </c>
      <c r="G41" s="95"/>
      <c r="H41" s="95"/>
      <c r="I41" s="95"/>
    </row>
    <row r="42" spans="3:9">
      <c r="C42" s="32" t="s">
        <v>47</v>
      </c>
      <c r="D42" s="32" t="s">
        <v>29</v>
      </c>
      <c r="E42" s="60" t="s">
        <v>59</v>
      </c>
      <c r="F42" s="50" t="str">
        <f t="shared" si="3"/>
        <v>CCS Process CostsOPEX_INPUT</v>
      </c>
      <c r="G42" s="119">
        <f>'Independent Cost Inputs'!H65</f>
        <v>0.5</v>
      </c>
      <c r="H42" s="119">
        <f>'Independent Cost Inputs'!I65</f>
        <v>0.5</v>
      </c>
      <c r="I42" s="119">
        <f>'Independent Cost Inputs'!J65</f>
        <v>0.7</v>
      </c>
    </row>
    <row r="43" spans="3:9">
      <c r="C43" s="32" t="s">
        <v>47</v>
      </c>
      <c r="D43" s="32" t="s">
        <v>29</v>
      </c>
      <c r="E43" s="32" t="s">
        <v>22</v>
      </c>
      <c r="F43" s="50" t="str">
        <f t="shared" si="3"/>
        <v>CCS Process CostsOPEX</v>
      </c>
      <c r="G43" s="123">
        <f ca="1">G42*FTE_Cost*G38</f>
        <v>90000</v>
      </c>
      <c r="H43" s="123">
        <f ca="1">H42*FTE_Cost*H38</f>
        <v>90000</v>
      </c>
      <c r="I43" s="123">
        <f ca="1">I42*FTE_Cost*I38</f>
        <v>210000</v>
      </c>
    </row>
    <row r="44" spans="3:9">
      <c r="G44" s="57"/>
      <c r="H44" s="57"/>
      <c r="I44" s="57"/>
    </row>
    <row r="57" spans="1:6" s="32" customFormat="1">
      <c r="A57" s="30"/>
      <c r="B57" s="30"/>
      <c r="F57" s="50"/>
    </row>
    <row r="58" spans="1:6" s="32" customFormat="1">
      <c r="A58" s="30"/>
      <c r="B58" s="30"/>
      <c r="F58" s="50"/>
    </row>
    <row r="59" spans="1:6" s="32" customFormat="1">
      <c r="A59" s="30"/>
      <c r="B59" s="30"/>
      <c r="F59" s="50"/>
    </row>
    <row r="60" spans="1:6" s="32" customFormat="1">
      <c r="A60" s="30"/>
      <c r="B60" s="30"/>
      <c r="F60" s="50"/>
    </row>
    <row r="61" spans="1:6" s="32" customFormat="1">
      <c r="A61" s="30"/>
      <c r="B61" s="30"/>
      <c r="F61" s="50"/>
    </row>
    <row r="62" spans="1:6" s="32" customFormat="1">
      <c r="A62" s="30"/>
      <c r="B62" s="30"/>
      <c r="F62" s="50"/>
    </row>
    <row r="63" spans="1:6" s="32" customFormat="1">
      <c r="A63" s="30"/>
      <c r="B63" s="30"/>
      <c r="F63" s="50"/>
    </row>
    <row r="64" spans="1:6" s="32" customFormat="1">
      <c r="A64" s="30"/>
      <c r="B64" s="30"/>
      <c r="F64" s="50"/>
    </row>
    <row r="65" spans="1:6" s="32" customFormat="1">
      <c r="A65" s="30"/>
      <c r="B65" s="30"/>
      <c r="F65" s="50"/>
    </row>
    <row r="66" spans="1:6" s="32" customFormat="1">
      <c r="A66" s="30"/>
      <c r="B66" s="30"/>
      <c r="F66" s="50"/>
    </row>
    <row r="67" spans="1:6" s="32" customFormat="1">
      <c r="A67" s="30"/>
      <c r="B67" s="30"/>
      <c r="F67" s="50"/>
    </row>
    <row r="68" spans="1:6" s="32" customFormat="1">
      <c r="A68" s="30"/>
      <c r="B68" s="30"/>
      <c r="F68" s="50"/>
    </row>
    <row r="69" spans="1:6" s="32" customFormat="1">
      <c r="A69" s="30"/>
      <c r="B69" s="30"/>
      <c r="F69" s="50"/>
    </row>
    <row r="70" spans="1:6" s="32" customFormat="1">
      <c r="A70" s="30"/>
      <c r="B70" s="30"/>
      <c r="F70" s="50"/>
    </row>
    <row r="71" spans="1:6" s="32" customFormat="1">
      <c r="A71" s="30"/>
      <c r="B71" s="30"/>
      <c r="F71" s="50"/>
    </row>
    <row r="72" spans="1:6" s="32" customFormat="1">
      <c r="A72" s="30"/>
      <c r="B72" s="30"/>
      <c r="F72" s="50"/>
    </row>
    <row r="73" spans="1:6" s="32" customFormat="1">
      <c r="A73" s="30"/>
      <c r="B73" s="30"/>
      <c r="F73" s="50"/>
    </row>
    <row r="74" spans="1:6" s="32" customFormat="1">
      <c r="A74" s="30"/>
      <c r="B74" s="30"/>
      <c r="F74" s="50"/>
    </row>
    <row r="75" spans="1:6" s="32" customFormat="1">
      <c r="A75" s="30"/>
      <c r="B75" s="30"/>
      <c r="F75" s="50"/>
    </row>
    <row r="76" spans="1:6" s="32" customFormat="1">
      <c r="A76" s="30"/>
      <c r="B76" s="30"/>
      <c r="F76" s="50"/>
    </row>
    <row r="77" spans="1:6" s="32" customFormat="1">
      <c r="A77" s="30"/>
      <c r="B77" s="30"/>
      <c r="F77" s="50"/>
    </row>
    <row r="78" spans="1:6" s="32" customFormat="1">
      <c r="A78" s="30"/>
      <c r="B78" s="30"/>
      <c r="F78" s="50"/>
    </row>
    <row r="79" spans="1:6" s="32" customFormat="1">
      <c r="A79" s="30"/>
      <c r="B79" s="30"/>
      <c r="F79" s="50"/>
    </row>
    <row r="80" spans="1:6" s="32" customFormat="1">
      <c r="A80" s="30"/>
      <c r="B80" s="30"/>
      <c r="F80" s="50"/>
    </row>
    <row r="81" spans="1:6" s="32" customFormat="1">
      <c r="A81" s="30"/>
      <c r="B81" s="30"/>
      <c r="F81" s="50"/>
    </row>
    <row r="82" spans="1:6" s="32" customFormat="1">
      <c r="A82" s="30"/>
      <c r="B82" s="30"/>
      <c r="F82" s="50"/>
    </row>
    <row r="83" spans="1:6" s="32" customFormat="1">
      <c r="A83" s="30"/>
      <c r="B83" s="30"/>
      <c r="F83" s="50"/>
    </row>
    <row r="84" spans="1:6" s="32" customFormat="1">
      <c r="A84" s="30"/>
      <c r="B84" s="30"/>
      <c r="F84" s="50"/>
    </row>
    <row r="85" spans="1:6" s="32" customFormat="1">
      <c r="A85" s="30"/>
      <c r="B85" s="30"/>
      <c r="F85" s="50"/>
    </row>
    <row r="86" spans="1:6" s="32" customFormat="1">
      <c r="A86" s="30"/>
      <c r="B86" s="30"/>
      <c r="F86" s="50"/>
    </row>
    <row r="87" spans="1:6" s="32" customFormat="1">
      <c r="A87" s="30"/>
      <c r="B87" s="30"/>
      <c r="F87" s="50"/>
    </row>
    <row r="88" spans="1:6" s="32" customFormat="1">
      <c r="A88" s="30"/>
      <c r="B88" s="30"/>
      <c r="F88" s="50"/>
    </row>
    <row r="89" spans="1:6" s="32" customFormat="1">
      <c r="A89" s="30"/>
      <c r="B89" s="30"/>
      <c r="F89" s="50"/>
    </row>
    <row r="90" spans="1:6" s="32" customFormat="1">
      <c r="A90" s="30"/>
      <c r="B90" s="30"/>
      <c r="F90" s="50"/>
    </row>
    <row r="91" spans="1:6" s="32" customFormat="1">
      <c r="A91" s="30"/>
      <c r="B91" s="30"/>
      <c r="F91" s="50"/>
    </row>
    <row r="92" spans="1:6" s="32" customFormat="1">
      <c r="A92" s="30"/>
      <c r="B92" s="30"/>
      <c r="F92" s="50"/>
    </row>
    <row r="93" spans="1:6" s="32" customFormat="1">
      <c r="A93" s="30"/>
      <c r="B93" s="30"/>
      <c r="F93" s="50"/>
    </row>
    <row r="94" spans="1:6" s="32" customFormat="1">
      <c r="A94" s="30"/>
      <c r="B94" s="30"/>
      <c r="F94" s="50"/>
    </row>
    <row r="95" spans="1:6" s="32" customFormat="1">
      <c r="A95" s="30"/>
      <c r="B95" s="30"/>
      <c r="F95" s="50"/>
    </row>
    <row r="96" spans="1:6" s="32" customFormat="1">
      <c r="A96" s="30"/>
      <c r="B96" s="30"/>
      <c r="F96" s="50"/>
    </row>
    <row r="97" spans="1:6" s="32" customFormat="1">
      <c r="A97" s="30"/>
      <c r="B97" s="30"/>
      <c r="F97" s="50"/>
    </row>
    <row r="98" spans="1:6" s="32" customFormat="1">
      <c r="A98" s="30"/>
      <c r="B98" s="30"/>
      <c r="F98" s="50"/>
    </row>
    <row r="99" spans="1:6" s="32" customFormat="1">
      <c r="A99" s="30"/>
      <c r="B99" s="30"/>
      <c r="F99" s="50"/>
    </row>
    <row r="100" spans="1:6" s="32" customFormat="1">
      <c r="A100" s="30"/>
      <c r="B100" s="30"/>
      <c r="F100" s="50"/>
    </row>
    <row r="101" spans="1:6" s="32" customFormat="1">
      <c r="A101" s="30"/>
      <c r="B101" s="30"/>
      <c r="F101" s="50"/>
    </row>
    <row r="102" spans="1:6" s="32" customFormat="1">
      <c r="A102" s="30"/>
      <c r="B102" s="30"/>
      <c r="F102" s="50"/>
    </row>
    <row r="103" spans="1:6" s="32" customFormat="1">
      <c r="A103" s="30"/>
      <c r="B103" s="30"/>
      <c r="F103" s="50"/>
    </row>
    <row r="104" spans="1:6" s="32" customFormat="1">
      <c r="A104" s="30"/>
      <c r="B104" s="30"/>
      <c r="F104" s="50"/>
    </row>
    <row r="105" spans="1:6" s="32" customFormat="1">
      <c r="A105" s="30"/>
      <c r="B105" s="30"/>
      <c r="F105" s="50"/>
    </row>
    <row r="106" spans="1:6" s="32" customFormat="1">
      <c r="A106" s="30"/>
      <c r="B106" s="30"/>
      <c r="F106" s="50"/>
    </row>
    <row r="107" spans="1:6" s="32" customFormat="1">
      <c r="A107" s="30"/>
      <c r="B107" s="30"/>
      <c r="F107" s="50"/>
    </row>
    <row r="108" spans="1:6" s="32" customFormat="1">
      <c r="A108" s="30"/>
      <c r="B108" s="30"/>
      <c r="F108" s="50"/>
    </row>
    <row r="109" spans="1:6" s="32" customFormat="1">
      <c r="A109" s="30"/>
      <c r="B109" s="30"/>
      <c r="F109" s="50"/>
    </row>
    <row r="110" spans="1:6" s="32" customFormat="1">
      <c r="A110" s="30"/>
      <c r="B110" s="30"/>
      <c r="F110" s="50"/>
    </row>
    <row r="111" spans="1:6" s="32" customFormat="1">
      <c r="A111" s="30"/>
      <c r="B111" s="30"/>
      <c r="F111" s="50"/>
    </row>
    <row r="112" spans="1:6" s="32" customFormat="1">
      <c r="A112" s="30"/>
      <c r="B112" s="30"/>
      <c r="F112" s="50"/>
    </row>
    <row r="113" spans="1:6" s="32" customFormat="1">
      <c r="A113" s="30"/>
      <c r="B113" s="30"/>
      <c r="F113" s="50"/>
    </row>
    <row r="114" spans="1:6" s="32" customFormat="1">
      <c r="A114" s="30"/>
      <c r="B114" s="30"/>
      <c r="F114" s="50"/>
    </row>
    <row r="115" spans="1:6" s="32" customFormat="1">
      <c r="A115" s="30"/>
      <c r="B115" s="30"/>
      <c r="F115" s="50"/>
    </row>
    <row r="116" spans="1:6" s="32" customFormat="1">
      <c r="A116" s="30"/>
      <c r="B116" s="30"/>
      <c r="F116" s="50"/>
    </row>
    <row r="117" spans="1:6" s="32" customFormat="1">
      <c r="A117" s="30"/>
      <c r="B117" s="30"/>
      <c r="F117" s="50"/>
    </row>
    <row r="118" spans="1:6" s="32" customFormat="1">
      <c r="A118" s="30"/>
      <c r="B118" s="30"/>
      <c r="F118" s="50"/>
    </row>
    <row r="119" spans="1:6" s="32" customFormat="1">
      <c r="A119" s="30"/>
      <c r="B119" s="30"/>
      <c r="F119" s="50"/>
    </row>
    <row r="120" spans="1:6" s="32" customFormat="1">
      <c r="A120" s="30"/>
      <c r="B120" s="30"/>
      <c r="F120" s="50"/>
    </row>
    <row r="121" spans="1:6" s="32" customFormat="1">
      <c r="A121" s="30"/>
      <c r="B121" s="30"/>
      <c r="F121" s="50"/>
    </row>
    <row r="122" spans="1:6" s="32" customFormat="1">
      <c r="A122" s="30"/>
      <c r="B122" s="30"/>
      <c r="F122" s="50"/>
    </row>
    <row r="123" spans="1:6" s="32" customFormat="1">
      <c r="A123" s="30"/>
      <c r="B123" s="30"/>
      <c r="F123" s="50"/>
    </row>
    <row r="124" spans="1:6" s="32" customFormat="1">
      <c r="A124" s="30"/>
      <c r="B124" s="30"/>
      <c r="F124" s="50"/>
    </row>
    <row r="125" spans="1:6" s="32" customFormat="1">
      <c r="A125" s="30"/>
      <c r="B125" s="30"/>
      <c r="F125" s="50"/>
    </row>
    <row r="126" spans="1:6" s="32" customFormat="1">
      <c r="A126" s="30"/>
      <c r="B126" s="30"/>
      <c r="F126" s="50"/>
    </row>
    <row r="127" spans="1:6" s="32" customFormat="1">
      <c r="A127" s="30"/>
      <c r="B127" s="30"/>
      <c r="F127" s="50"/>
    </row>
    <row r="128" spans="1:6" s="32" customFormat="1">
      <c r="A128" s="30"/>
      <c r="B128" s="30"/>
      <c r="F128" s="50"/>
    </row>
    <row r="129" spans="1:6" s="32" customFormat="1">
      <c r="A129" s="30"/>
      <c r="B129" s="30"/>
      <c r="F129" s="50"/>
    </row>
    <row r="130" spans="1:6" s="32" customFormat="1">
      <c r="A130" s="30"/>
      <c r="B130" s="30"/>
      <c r="F130" s="50"/>
    </row>
    <row r="131" spans="1:6" s="32" customFormat="1">
      <c r="A131" s="30"/>
      <c r="B131" s="30"/>
      <c r="F131" s="50"/>
    </row>
    <row r="132" spans="1:6" s="32" customFormat="1">
      <c r="A132" s="30"/>
      <c r="B132" s="30"/>
      <c r="F132" s="50"/>
    </row>
    <row r="133" spans="1:6" s="32" customFormat="1">
      <c r="A133" s="30"/>
      <c r="B133" s="30"/>
      <c r="F133" s="50"/>
    </row>
    <row r="134" spans="1:6" s="32" customFormat="1">
      <c r="A134" s="30"/>
      <c r="B134" s="30"/>
      <c r="F134" s="50"/>
    </row>
    <row r="135" spans="1:6" s="32" customFormat="1">
      <c r="A135" s="30"/>
      <c r="B135" s="30"/>
      <c r="F135" s="50"/>
    </row>
    <row r="136" spans="1:6" s="32" customFormat="1">
      <c r="A136" s="30"/>
      <c r="B136" s="30"/>
      <c r="F136" s="50"/>
    </row>
    <row r="137" spans="1:6" s="32" customFormat="1">
      <c r="A137" s="30"/>
      <c r="B137" s="30"/>
      <c r="F137" s="50"/>
    </row>
    <row r="138" spans="1:6" s="32" customFormat="1">
      <c r="A138" s="30"/>
      <c r="B138" s="30"/>
      <c r="F138" s="50"/>
    </row>
    <row r="139" spans="1:6" s="32" customFormat="1">
      <c r="A139" s="30"/>
      <c r="B139" s="30"/>
      <c r="F139" s="50"/>
    </row>
    <row r="140" spans="1:6" s="32" customFormat="1">
      <c r="A140" s="30"/>
      <c r="B140" s="30"/>
      <c r="F140" s="50"/>
    </row>
    <row r="141" spans="1:6" s="32" customFormat="1">
      <c r="A141" s="30"/>
      <c r="B141" s="30"/>
      <c r="F141" s="50"/>
    </row>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sheetPr codeName="Sheet27">
    <tabColor theme="3"/>
  </sheetPr>
  <dimension ref="A2:R23"/>
  <sheetViews>
    <sheetView showGridLines="0" zoomScale="85" zoomScaleNormal="85" workbookViewId="0">
      <selection activeCell="C1" sqref="C1"/>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sheetPr codeName="Sheet28"/>
  <dimension ref="A2:M46"/>
  <sheetViews>
    <sheetView showGridLines="0" zoomScale="70" zoomScaleNormal="70" workbookViewId="0">
      <selection activeCell="G26" sqref="G26"/>
    </sheetView>
  </sheetViews>
  <sheetFormatPr defaultColWidth="9.140625" defaultRowHeight="12.75"/>
  <cols>
    <col min="1" max="1" width="3.5703125" style="30" customWidth="1"/>
    <col min="2" max="2" width="18.85546875" style="30" customWidth="1"/>
    <col min="3" max="3" width="34" style="32" customWidth="1"/>
    <col min="4" max="4" width="10" style="32" customWidth="1"/>
    <col min="5" max="5" width="15.42578125" style="32" customWidth="1"/>
    <col min="6" max="6" width="19.5703125" style="50" hidden="1" customWidth="1"/>
    <col min="7" max="9" width="16" style="34" customWidth="1"/>
    <col min="10" max="16384" width="9.140625" style="30"/>
  </cols>
  <sheetData>
    <row r="2" spans="2:10">
      <c r="B2" s="30" t="s">
        <v>0</v>
      </c>
      <c r="C2" s="49" t="str">
        <f ca="1">MID(CELL("filename",A1),FIND("]",CELL("filename",A1))+1,256)</f>
        <v>TPV - Process Workings</v>
      </c>
    </row>
    <row r="3" spans="2:10">
      <c r="B3" s="30" t="s">
        <v>1</v>
      </c>
      <c r="C3" s="50" t="s">
        <v>99</v>
      </c>
    </row>
    <row r="5" spans="2:10" s="51" customFormat="1">
      <c r="B5" s="51" t="s">
        <v>18</v>
      </c>
      <c r="C5" s="52" t="s">
        <v>19</v>
      </c>
      <c r="D5" s="52" t="s">
        <v>20</v>
      </c>
      <c r="E5" s="52" t="s">
        <v>52</v>
      </c>
      <c r="F5" s="53" t="s">
        <v>53</v>
      </c>
      <c r="G5" s="124" t="s">
        <v>228</v>
      </c>
      <c r="H5" s="124" t="s">
        <v>229</v>
      </c>
      <c r="I5" s="124" t="s">
        <v>230</v>
      </c>
    </row>
    <row r="7" spans="2:10">
      <c r="B7" s="31" t="s">
        <v>4</v>
      </c>
      <c r="C7" s="32" t="s">
        <v>21</v>
      </c>
      <c r="G7" s="125">
        <f ca="1">SUMIF($E$11:$E$201,"CAPEX",G11:G201)</f>
        <v>7500</v>
      </c>
      <c r="H7" s="125">
        <f ca="1">SUMIF($E$11:$E$201,"CAPEX",H11:H201)</f>
        <v>167500</v>
      </c>
      <c r="I7" s="125">
        <f ca="1">SUMIF($E$11:$E$201,"CAPEX",I11:I201)</f>
        <v>542500</v>
      </c>
    </row>
    <row r="8" spans="2:10">
      <c r="C8" s="32" t="s">
        <v>22</v>
      </c>
      <c r="G8" s="125">
        <f ca="1">SUMIF($E$11:$E$201,"OPEX",G11:G201)</f>
        <v>6134.1252704159288</v>
      </c>
      <c r="H8" s="125">
        <f ca="1">SUMIF($E$11:$E$201,"OPEX",H11:H201)</f>
        <v>126182.50540831855</v>
      </c>
      <c r="I8" s="125">
        <f ca="1">SUMIF($E$11:$E$201,"OPEX",I11:I201)</f>
        <v>1650924.5081191622</v>
      </c>
    </row>
    <row r="9" spans="2:10">
      <c r="B9" s="34"/>
      <c r="C9" s="141" t="s">
        <v>71</v>
      </c>
      <c r="D9" s="141"/>
      <c r="E9" s="141"/>
      <c r="F9" s="142"/>
      <c r="G9" s="141"/>
      <c r="H9" s="141"/>
      <c r="I9" s="141"/>
    </row>
    <row r="10" spans="2:10" s="39" customFormat="1">
      <c r="B10" s="34"/>
      <c r="C10" s="34"/>
      <c r="D10" s="34"/>
      <c r="E10" s="34"/>
      <c r="F10" s="55"/>
      <c r="G10" s="95"/>
      <c r="H10" s="95"/>
      <c r="I10" s="95"/>
    </row>
    <row r="11" spans="2:10">
      <c r="B11" s="34"/>
      <c r="C11" s="32" t="s">
        <v>71</v>
      </c>
      <c r="D11" s="32" t="s">
        <v>61</v>
      </c>
      <c r="E11" s="32" t="s">
        <v>57</v>
      </c>
      <c r="F11" s="50" t="str">
        <f>C11&amp;E11</f>
        <v>CRM and Knowledge ManagementCAPEX_INPUT</v>
      </c>
      <c r="G11" s="96">
        <f>'Independent Cost Inputs'!Q8</f>
        <v>5</v>
      </c>
      <c r="H11" s="96">
        <f>'Independent Cost Inputs'!R8</f>
        <v>100</v>
      </c>
      <c r="I11" s="96">
        <f>'Independent Cost Inputs'!S8</f>
        <v>350</v>
      </c>
    </row>
    <row r="12" spans="2:10">
      <c r="B12" s="34"/>
      <c r="C12" s="32" t="s">
        <v>71</v>
      </c>
      <c r="D12" s="32" t="s">
        <v>56</v>
      </c>
      <c r="E12" s="32" t="s">
        <v>57</v>
      </c>
      <c r="F12" s="89" t="str">
        <f t="shared" ref="F12" si="0">C12&amp;E12</f>
        <v>CRM and Knowledge ManagementCAPEX_INPUT</v>
      </c>
      <c r="G12" s="96">
        <f>'Independent Cost Inputs'!Q9</f>
        <v>1</v>
      </c>
      <c r="H12" s="96">
        <f>'Independent Cost Inputs'!R9</f>
        <v>1</v>
      </c>
      <c r="I12" s="96">
        <f>'Independent Cost Inputs'!S9</f>
        <v>1</v>
      </c>
    </row>
    <row r="13" spans="2:10">
      <c r="B13" s="34"/>
      <c r="C13" s="32" t="s">
        <v>71</v>
      </c>
      <c r="D13" s="32" t="s">
        <v>56</v>
      </c>
      <c r="E13" s="32" t="s">
        <v>57</v>
      </c>
      <c r="F13" s="89" t="str">
        <f t="shared" ref="F13" si="1">C13&amp;E13</f>
        <v>CRM and Knowledge ManagementCAPEX_INPUT</v>
      </c>
      <c r="G13" s="96">
        <f>'Independent Cost Inputs'!Q10</f>
        <v>0</v>
      </c>
      <c r="H13" s="96">
        <f>'Independent Cost Inputs'!R10</f>
        <v>15</v>
      </c>
      <c r="I13" s="96">
        <f>'Independent Cost Inputs'!S10</f>
        <v>15</v>
      </c>
    </row>
    <row r="14" spans="2:10">
      <c r="B14" s="34"/>
      <c r="C14" s="32" t="s">
        <v>71</v>
      </c>
      <c r="D14" s="32" t="s">
        <v>29</v>
      </c>
      <c r="E14" s="32" t="s">
        <v>57</v>
      </c>
      <c r="F14" s="89" t="str">
        <f t="shared" ref="F14" si="2">C14&amp;E14</f>
        <v>CRM and Knowledge ManagementCAPEX_INPUT</v>
      </c>
      <c r="G14" s="96">
        <f ca="1">'Independent Cost Inputs'!$G$73</f>
        <v>500</v>
      </c>
      <c r="H14" s="96">
        <f ca="1">'Independent Cost Inputs'!$G$73</f>
        <v>500</v>
      </c>
      <c r="I14" s="96">
        <f ca="1">'Independent Cost Inputs'!$G$73</f>
        <v>500</v>
      </c>
    </row>
    <row r="15" spans="2:10">
      <c r="B15" s="34"/>
      <c r="C15" s="32" t="s">
        <v>71</v>
      </c>
      <c r="D15" s="32" t="s">
        <v>29</v>
      </c>
      <c r="E15" s="32" t="s">
        <v>21</v>
      </c>
      <c r="F15" s="50" t="str">
        <f t="shared" ref="F15:F22" si="3">C15&amp;E15</f>
        <v>CRM and Knowledge ManagementCAPEX</v>
      </c>
      <c r="G15" s="120">
        <f ca="1">(G11*G14*G12)+(G13*Day_Rate)</f>
        <v>2500</v>
      </c>
      <c r="H15" s="120">
        <f ca="1">(H11*H14*H12)+(H13*Day_Rate)</f>
        <v>57500</v>
      </c>
      <c r="I15" s="120">
        <f ca="1">(I11*I14*I12)+(I13*Day_Rate)</f>
        <v>182500</v>
      </c>
      <c r="J15" s="61"/>
    </row>
    <row r="16" spans="2:10">
      <c r="B16" s="34"/>
      <c r="F16" s="50" t="str">
        <f t="shared" si="3"/>
        <v/>
      </c>
      <c r="G16" s="97"/>
      <c r="H16" s="97"/>
      <c r="I16" s="97"/>
      <c r="J16" s="31"/>
    </row>
    <row r="17" spans="1:10">
      <c r="B17" s="34"/>
      <c r="C17" s="32" t="s">
        <v>71</v>
      </c>
      <c r="D17" s="32" t="s">
        <v>58</v>
      </c>
      <c r="E17" s="32" t="s">
        <v>59</v>
      </c>
      <c r="F17" s="50" t="str">
        <f t="shared" si="3"/>
        <v>CRM and Knowledge ManagementOPEX_INPUT</v>
      </c>
      <c r="G17" s="98">
        <f ca="1">'Independent Cost Inputs'!Q11</f>
        <v>0.2</v>
      </c>
      <c r="H17" s="98">
        <f ca="1">'Independent Cost Inputs'!R11</f>
        <v>0.2</v>
      </c>
      <c r="I17" s="98">
        <f ca="1">'Independent Cost Inputs'!S11</f>
        <v>0.2</v>
      </c>
      <c r="J17" s="31"/>
    </row>
    <row r="18" spans="1:10">
      <c r="B18" s="34"/>
      <c r="C18" s="32" t="s">
        <v>71</v>
      </c>
      <c r="D18" s="32" t="s">
        <v>29</v>
      </c>
      <c r="E18" s="32" t="s">
        <v>22</v>
      </c>
      <c r="F18" s="50" t="str">
        <f t="shared" si="3"/>
        <v>CRM and Knowledge ManagementOPEX</v>
      </c>
      <c r="G18" s="121">
        <f ca="1">G17*G15</f>
        <v>500</v>
      </c>
      <c r="H18" s="121">
        <f t="shared" ref="H18:I18" ca="1" si="4">H17*H15</f>
        <v>11500</v>
      </c>
      <c r="I18" s="121">
        <f t="shared" ca="1" si="4"/>
        <v>36500</v>
      </c>
      <c r="J18" s="61"/>
    </row>
    <row r="19" spans="1:10">
      <c r="A19" s="42"/>
      <c r="B19" s="34"/>
      <c r="F19" s="50" t="str">
        <f t="shared" si="3"/>
        <v/>
      </c>
      <c r="G19" s="95"/>
      <c r="H19" s="95"/>
      <c r="I19" s="95"/>
    </row>
    <row r="20" spans="1:10">
      <c r="B20" s="34"/>
      <c r="G20" s="95"/>
      <c r="H20" s="95"/>
      <c r="I20" s="95"/>
    </row>
    <row r="21" spans="1:10" ht="25.5">
      <c r="B21" s="34"/>
      <c r="C21" s="141" t="s">
        <v>38</v>
      </c>
      <c r="D21" s="141"/>
      <c r="E21" s="141"/>
      <c r="F21" s="141"/>
      <c r="G21" s="143"/>
      <c r="H21" s="143"/>
      <c r="I21" s="143"/>
    </row>
    <row r="22" spans="1:10">
      <c r="B22" s="34"/>
      <c r="F22" s="50" t="str">
        <f t="shared" si="3"/>
        <v/>
      </c>
      <c r="G22" s="95"/>
      <c r="H22" s="95"/>
      <c r="I22" s="95"/>
    </row>
    <row r="23" spans="1:10" ht="25.5">
      <c r="B23" s="34"/>
      <c r="C23" s="32" t="s">
        <v>38</v>
      </c>
      <c r="D23" s="32" t="s">
        <v>61</v>
      </c>
      <c r="E23" s="32" t="s">
        <v>57</v>
      </c>
      <c r="F23" s="50" t="str">
        <f>C23&amp;E23</f>
        <v>Customer Interface Management ChangesCAPEX_INPUT</v>
      </c>
      <c r="G23" s="96">
        <f>'Independent Cost Inputs'!Q12</f>
        <v>5</v>
      </c>
      <c r="H23" s="96">
        <f>'Independent Cost Inputs'!R12</f>
        <v>100</v>
      </c>
      <c r="I23" s="96">
        <f>'Independent Cost Inputs'!S12</f>
        <v>350</v>
      </c>
    </row>
    <row r="24" spans="1:10" ht="25.5">
      <c r="B24" s="34"/>
      <c r="C24" s="32" t="s">
        <v>38</v>
      </c>
      <c r="D24" s="32" t="s">
        <v>56</v>
      </c>
      <c r="E24" s="32" t="s">
        <v>57</v>
      </c>
      <c r="F24" s="89" t="str">
        <f t="shared" ref="F24:F30" si="5">C24&amp;E24</f>
        <v>Customer Interface Management ChangesCAPEX_INPUT</v>
      </c>
      <c r="G24" s="96">
        <f>'Independent Cost Inputs'!Q13</f>
        <v>2</v>
      </c>
      <c r="H24" s="96">
        <f>'Independent Cost Inputs'!R13</f>
        <v>2</v>
      </c>
      <c r="I24" s="96">
        <f>'Independent Cost Inputs'!S13</f>
        <v>2</v>
      </c>
      <c r="J24" s="31"/>
    </row>
    <row r="25" spans="1:10" ht="25.5">
      <c r="B25" s="34"/>
      <c r="C25" s="32" t="s">
        <v>38</v>
      </c>
      <c r="D25" s="32" t="s">
        <v>56</v>
      </c>
      <c r="E25" s="32" t="s">
        <v>57</v>
      </c>
      <c r="F25" s="89" t="str">
        <f t="shared" si="5"/>
        <v>Customer Interface Management ChangesCAPEX_INPUT</v>
      </c>
      <c r="G25" s="96">
        <f>'Independent Cost Inputs'!Q14</f>
        <v>0</v>
      </c>
      <c r="H25" s="96">
        <f>'Independent Cost Inputs'!R14</f>
        <v>20</v>
      </c>
      <c r="I25" s="96">
        <f>'Independent Cost Inputs'!S14</f>
        <v>20</v>
      </c>
      <c r="J25" s="61"/>
    </row>
    <row r="26" spans="1:10" ht="25.5">
      <c r="B26" s="34"/>
      <c r="C26" s="32" t="s">
        <v>38</v>
      </c>
      <c r="D26" s="32" t="s">
        <v>29</v>
      </c>
      <c r="E26" s="32" t="s">
        <v>57</v>
      </c>
      <c r="F26" s="89" t="str">
        <f t="shared" si="5"/>
        <v>Customer Interface Management ChangesCAPEX_INPUT</v>
      </c>
      <c r="G26" s="96">
        <f ca="1">'Independent Cost Inputs'!$G$73</f>
        <v>500</v>
      </c>
      <c r="H26" s="96">
        <f ca="1">'Independent Cost Inputs'!$G$73</f>
        <v>500</v>
      </c>
      <c r="I26" s="96">
        <f ca="1">'Independent Cost Inputs'!$G$73</f>
        <v>500</v>
      </c>
      <c r="J26" s="61"/>
    </row>
    <row r="27" spans="1:10" ht="25.5">
      <c r="B27" s="34"/>
      <c r="C27" s="32" t="s">
        <v>38</v>
      </c>
      <c r="D27" s="32" t="s">
        <v>29</v>
      </c>
      <c r="E27" s="32" t="s">
        <v>21</v>
      </c>
      <c r="F27" s="50" t="str">
        <f t="shared" si="5"/>
        <v>Customer Interface Management ChangesCAPEX</v>
      </c>
      <c r="G27" s="120">
        <f ca="1">(G23*G26*G24)+(G25*Day_Rate)</f>
        <v>5000</v>
      </c>
      <c r="H27" s="120">
        <f ca="1">(H23*H26*H24)+(H25*Day_Rate)</f>
        <v>110000</v>
      </c>
      <c r="I27" s="120">
        <f ca="1">(I23*I26*I24)+(I25*Day_Rate)</f>
        <v>360000</v>
      </c>
    </row>
    <row r="28" spans="1:10">
      <c r="B28" s="34"/>
      <c r="F28" s="50" t="str">
        <f t="shared" si="5"/>
        <v/>
      </c>
      <c r="G28" s="97"/>
      <c r="H28" s="97"/>
      <c r="I28" s="97"/>
    </row>
    <row r="29" spans="1:10" ht="25.5">
      <c r="B29" s="34"/>
      <c r="C29" s="32" t="s">
        <v>38</v>
      </c>
      <c r="D29" s="32" t="s">
        <v>58</v>
      </c>
      <c r="E29" s="32" t="s">
        <v>59</v>
      </c>
      <c r="F29" s="50" t="str">
        <f t="shared" si="5"/>
        <v>Customer Interface Management ChangesOPEX_INPUT</v>
      </c>
      <c r="G29" s="98">
        <f ca="1">'Independent Cost Inputs'!Q15</f>
        <v>0.2</v>
      </c>
      <c r="H29" s="98">
        <f ca="1">'Independent Cost Inputs'!R15</f>
        <v>0.2</v>
      </c>
      <c r="I29" s="98">
        <f ca="1">'Independent Cost Inputs'!S15</f>
        <v>0.2</v>
      </c>
    </row>
    <row r="30" spans="1:10" ht="25.5">
      <c r="B30" s="34"/>
      <c r="C30" s="32" t="s">
        <v>38</v>
      </c>
      <c r="D30" s="32" t="s">
        <v>29</v>
      </c>
      <c r="E30" s="32" t="s">
        <v>22</v>
      </c>
      <c r="F30" s="50" t="str">
        <f t="shared" si="5"/>
        <v>Customer Interface Management ChangesOPEX</v>
      </c>
      <c r="G30" s="121">
        <f ca="1">G29*G27</f>
        <v>1000</v>
      </c>
      <c r="H30" s="121">
        <f t="shared" ref="H30:I30" ca="1" si="6">H29*H27</f>
        <v>22000</v>
      </c>
      <c r="I30" s="121">
        <f t="shared" ca="1" si="6"/>
        <v>72000</v>
      </c>
    </row>
    <row r="31" spans="1:10">
      <c r="B31" s="34"/>
      <c r="G31" s="99"/>
      <c r="H31" s="99"/>
      <c r="I31" s="99"/>
    </row>
    <row r="32" spans="1:10">
      <c r="B32" s="34"/>
      <c r="C32" s="141" t="s">
        <v>39</v>
      </c>
      <c r="D32" s="141"/>
      <c r="E32" s="141"/>
      <c r="F32" s="141"/>
      <c r="G32" s="143"/>
      <c r="H32" s="143"/>
      <c r="I32" s="143"/>
    </row>
    <row r="33" spans="2:13">
      <c r="B33" s="34"/>
      <c r="F33" s="50" t="str">
        <f>C33&amp;E33</f>
        <v/>
      </c>
      <c r="G33" s="95"/>
      <c r="H33" s="95"/>
      <c r="I33" s="95"/>
    </row>
    <row r="34" spans="2:13">
      <c r="B34" s="34"/>
      <c r="C34" s="34" t="s">
        <v>39</v>
      </c>
      <c r="D34" s="32" t="s">
        <v>76</v>
      </c>
      <c r="E34" s="32" t="s">
        <v>59</v>
      </c>
      <c r="F34" s="50" t="str">
        <f>C34&amp;E34</f>
        <v>Order Handling ChangesOPEX_INPUT</v>
      </c>
      <c r="G34" s="96">
        <f>'Independent Cost Inputs'!Q18</f>
        <v>20</v>
      </c>
      <c r="H34" s="96">
        <f>'Independent Cost Inputs'!R18</f>
        <v>20</v>
      </c>
      <c r="I34" s="96">
        <f>'Independent Cost Inputs'!S18</f>
        <v>20</v>
      </c>
    </row>
    <row r="35" spans="2:13">
      <c r="B35" s="34"/>
      <c r="C35" s="34" t="s">
        <v>452</v>
      </c>
      <c r="D35" s="32" t="s">
        <v>76</v>
      </c>
      <c r="E35" s="32" t="s">
        <v>59</v>
      </c>
      <c r="F35" s="50" t="str">
        <f>C35&amp;E35</f>
        <v>Order Handling Changes DeltaOPEX_INPUT</v>
      </c>
      <c r="G35" s="126">
        <f>G34-Call_Time_Blend</f>
        <v>5.5189004150531282</v>
      </c>
      <c r="H35" s="126">
        <f>H34-Call_Time_Blend</f>
        <v>5.5189004150531282</v>
      </c>
      <c r="I35" s="126">
        <f>I34-Call_Time_Blend</f>
        <v>5.5189004150531282</v>
      </c>
    </row>
    <row r="36" spans="2:13">
      <c r="B36" s="34"/>
      <c r="C36" s="34" t="s">
        <v>39</v>
      </c>
      <c r="D36" s="32" t="s">
        <v>29</v>
      </c>
      <c r="E36" s="32" t="s">
        <v>59</v>
      </c>
      <c r="F36" s="89" t="str">
        <f t="shared" ref="F36" si="7">C36&amp;E36</f>
        <v>Order Handling ChangesOPEX_INPUT</v>
      </c>
      <c r="G36" s="327">
        <f ca="1">'Independent Cost Inputs'!$G$78</f>
        <v>0.36</v>
      </c>
      <c r="H36" s="327">
        <f ca="1">'Independent Cost Inputs'!$G$78</f>
        <v>0.36</v>
      </c>
      <c r="I36" s="327">
        <f ca="1">'Independent Cost Inputs'!$G$78</f>
        <v>0.36</v>
      </c>
    </row>
    <row r="37" spans="2:13">
      <c r="B37" s="34"/>
      <c r="C37" s="34" t="s">
        <v>39</v>
      </c>
      <c r="D37" s="32" t="s">
        <v>29</v>
      </c>
      <c r="E37" s="32" t="s">
        <v>22</v>
      </c>
      <c r="F37" s="50" t="str">
        <f>C37&amp;E37</f>
        <v>Order Handling ChangesOPEX</v>
      </c>
      <c r="G37" s="120">
        <f ca="1">G35*G36*Switches_Low</f>
        <v>2137.5648777274309</v>
      </c>
      <c r="H37" s="120">
        <f ca="1">H35*H36*Switches_Medium</f>
        <v>42751.297554548612</v>
      </c>
      <c r="I37" s="120">
        <f ca="1">I35*I36*Switches_High*(1-OnlineSalesPc)</f>
        <v>627019.0308000464</v>
      </c>
    </row>
    <row r="38" spans="2:13">
      <c r="B38" s="39"/>
      <c r="C38" s="34"/>
      <c r="G38" s="99"/>
      <c r="H38" s="99"/>
      <c r="I38" s="99"/>
    </row>
    <row r="39" spans="2:13">
      <c r="B39" s="39"/>
      <c r="F39" s="50" t="str">
        <f>C39&amp;E39</f>
        <v/>
      </c>
      <c r="G39" s="95"/>
      <c r="H39" s="95"/>
      <c r="I39" s="95"/>
    </row>
    <row r="40" spans="2:13">
      <c r="B40" s="39"/>
      <c r="C40" s="141" t="s">
        <v>618</v>
      </c>
      <c r="D40" s="141"/>
      <c r="E40" s="141"/>
      <c r="F40" s="141"/>
      <c r="G40" s="143"/>
      <c r="H40" s="143"/>
      <c r="I40" s="143"/>
    </row>
    <row r="41" spans="2:13">
      <c r="B41" s="39"/>
      <c r="F41" s="50" t="str">
        <f>C41&amp;E41</f>
        <v/>
      </c>
      <c r="G41" s="95"/>
      <c r="H41" s="95"/>
      <c r="I41" s="95"/>
      <c r="K41" s="32"/>
      <c r="L41" s="32"/>
      <c r="M41" s="32"/>
    </row>
    <row r="42" spans="2:13">
      <c r="B42" s="39"/>
      <c r="C42" s="34" t="s">
        <v>41</v>
      </c>
      <c r="D42" s="32" t="s">
        <v>29</v>
      </c>
      <c r="E42" s="32" t="s">
        <v>22</v>
      </c>
      <c r="F42" s="50" t="str">
        <f>C42&amp;E42</f>
        <v>TPV Process CostsOPEX</v>
      </c>
      <c r="G42" s="120">
        <f ca="1">(((('Independent Cost Inputs'!$G92*Switches_Low)+('Independent Cost Inputs'!$G$95*Switches_Low*'Independent Cost Inputs'!$G$76))*(1-OnlineSalesPc))+(OnlineSalesPc*Switches_Low*'Independent Cost Inputs'!$G$93))*'Independent Cost Inputs'!Q19</f>
        <v>2496.5603926884974</v>
      </c>
      <c r="H42" s="120">
        <f ca="1">(((('Independent Cost Inputs'!$G92*Switches_Medium)+('Independent Cost Inputs'!$G$95*Switches_Medium*'Independent Cost Inputs'!$G$76))*(1-OnlineSalesPc))+(OnlineSalesPc*Switches_Medium*'Independent Cost Inputs'!$G$93))*'Independent Cost Inputs'!R19</f>
        <v>49931.207853769942</v>
      </c>
      <c r="I42" s="120">
        <f ca="1">(((('Independent Cost Inputs'!$G92*Switches_High)+('Independent Cost Inputs'!$G$95*Switches_High*'Independent Cost Inputs'!$G$76))*(1-OnlineSalesPc))+(OnlineSalesPc*Switches_High*'Independent Cost Inputs'!$G$93))*'Independent Cost Inputs'!S19</f>
        <v>915405.47731911577</v>
      </c>
      <c r="K42" s="32"/>
      <c r="L42" s="32"/>
      <c r="M42" s="32"/>
    </row>
    <row r="43" spans="2:13">
      <c r="B43" s="39"/>
      <c r="G43" s="95"/>
      <c r="H43" s="95"/>
      <c r="I43" s="95"/>
      <c r="K43" s="32"/>
      <c r="L43" s="32"/>
      <c r="M43" s="32"/>
    </row>
    <row r="44" spans="2:13">
      <c r="B44" s="39"/>
      <c r="G44" s="95"/>
      <c r="H44" s="95"/>
      <c r="I44" s="95"/>
      <c r="K44" s="32"/>
      <c r="L44" s="32"/>
      <c r="M44" s="32"/>
    </row>
    <row r="45" spans="2:13">
      <c r="B45" s="39"/>
      <c r="G45" s="95"/>
      <c r="H45" s="95"/>
      <c r="I45" s="95"/>
    </row>
    <row r="46" spans="2:13">
      <c r="G46" s="95"/>
      <c r="H46" s="95"/>
      <c r="I46" s="95"/>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sheetPr codeName="Sheet29"/>
  <dimension ref="A2:J83"/>
  <sheetViews>
    <sheetView showGridLines="0" topLeftCell="C28" zoomScale="70" zoomScaleNormal="70" workbookViewId="0">
      <selection activeCell="G74" sqref="G74"/>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50" customWidth="1"/>
    <col min="7" max="9" width="16" style="95" customWidth="1"/>
    <col min="10" max="16384" width="9.140625" style="30"/>
  </cols>
  <sheetData>
    <row r="2" spans="2:10">
      <c r="B2" s="39" t="s">
        <v>0</v>
      </c>
      <c r="C2" s="49" t="str">
        <f ca="1">MID(CELL("filename",A1),FIND("]",CELL("filename",A1))+1,256)</f>
        <v>TPV - Systems Workings</v>
      </c>
    </row>
    <row r="3" spans="2:10">
      <c r="B3" s="39" t="s">
        <v>1</v>
      </c>
      <c r="C3" s="32" t="s">
        <v>102</v>
      </c>
    </row>
    <row r="5" spans="2:10" s="51" customFormat="1">
      <c r="B5" s="144" t="s">
        <v>18</v>
      </c>
      <c r="C5" s="52" t="s">
        <v>19</v>
      </c>
      <c r="D5" s="52" t="s">
        <v>20</v>
      </c>
      <c r="E5" s="52" t="s">
        <v>52</v>
      </c>
      <c r="F5" s="53" t="s">
        <v>53</v>
      </c>
      <c r="G5" s="124" t="s">
        <v>228</v>
      </c>
      <c r="H5" s="124" t="s">
        <v>229</v>
      </c>
      <c r="I5" s="124" t="s">
        <v>230</v>
      </c>
    </row>
    <row r="7" spans="2:10">
      <c r="B7" s="144" t="s">
        <v>4</v>
      </c>
      <c r="C7" s="32" t="s">
        <v>21</v>
      </c>
      <c r="G7" s="125">
        <f ca="1">SUMIF($E$11:$E$200,"CAPEX",G11:G200)</f>
        <v>0</v>
      </c>
      <c r="H7" s="125">
        <f t="shared" ref="H7:I7" ca="1" si="0">SUMIF($E$11:$E$200,"CAPEX",H11:H200)</f>
        <v>345000</v>
      </c>
      <c r="I7" s="125">
        <f t="shared" ca="1" si="0"/>
        <v>880000</v>
      </c>
    </row>
    <row r="8" spans="2:10">
      <c r="C8" s="32" t="s">
        <v>22</v>
      </c>
      <c r="G8" s="125">
        <f ca="1">SUMIF($E$11:$E$200,"OPEX",G11:G200)</f>
        <v>0</v>
      </c>
      <c r="H8" s="125">
        <f t="shared" ref="H8:I8" ca="1" si="1">SUMIF($E$11:$E$200,"OPEX",H11:H200)</f>
        <v>69000</v>
      </c>
      <c r="I8" s="125">
        <f t="shared" ca="1" si="1"/>
        <v>176000</v>
      </c>
    </row>
    <row r="9" spans="2:10">
      <c r="B9" s="34"/>
      <c r="C9" s="141" t="s">
        <v>28</v>
      </c>
      <c r="D9" s="141"/>
      <c r="E9" s="141"/>
      <c r="F9" s="142"/>
      <c r="G9" s="143"/>
      <c r="H9" s="143"/>
      <c r="I9" s="143"/>
      <c r="J9" s="31"/>
    </row>
    <row r="10" spans="2:10" s="39" customFormat="1">
      <c r="B10" s="34"/>
      <c r="C10" s="34"/>
      <c r="D10" s="34"/>
      <c r="E10" s="34"/>
      <c r="F10" s="55"/>
      <c r="G10" s="95"/>
      <c r="H10" s="95"/>
      <c r="I10" s="95"/>
      <c r="J10" s="62"/>
    </row>
    <row r="11" spans="2:10">
      <c r="B11" s="34"/>
      <c r="C11" s="32" t="s">
        <v>28</v>
      </c>
      <c r="D11" s="32" t="s">
        <v>56</v>
      </c>
      <c r="E11" s="32" t="s">
        <v>57</v>
      </c>
      <c r="F11" s="50" t="str">
        <f>C11&amp;E11</f>
        <v>CRM ChangesCAPEX_INPUT</v>
      </c>
      <c r="G11" s="96">
        <f>'Independent Cost Inputs'!Q21</f>
        <v>0</v>
      </c>
      <c r="H11" s="96">
        <f>'Independent Cost Inputs'!R21</f>
        <v>150</v>
      </c>
      <c r="I11" s="96">
        <f>'Independent Cost Inputs'!S21</f>
        <v>400</v>
      </c>
      <c r="J11" s="31"/>
    </row>
    <row r="12" spans="2:10">
      <c r="B12" s="34"/>
      <c r="C12" s="32" t="s">
        <v>28</v>
      </c>
      <c r="D12" s="32" t="s">
        <v>29</v>
      </c>
      <c r="E12" s="32" t="s">
        <v>57</v>
      </c>
      <c r="F12" s="50" t="str">
        <f t="shared" ref="F12:F47" si="2">C12&amp;E12</f>
        <v>CRM ChangesCAPEX_INPUT</v>
      </c>
      <c r="G12" s="96">
        <f>'Independent Cost Inputs'!Q22</f>
        <v>0</v>
      </c>
      <c r="H12" s="96">
        <f>'Independent Cost Inputs'!R22</f>
        <v>20000</v>
      </c>
      <c r="I12" s="96">
        <f>'Independent Cost Inputs'!S22</f>
        <v>50000</v>
      </c>
      <c r="J12" s="61"/>
    </row>
    <row r="13" spans="2:10">
      <c r="B13" s="34"/>
      <c r="C13" s="32" t="s">
        <v>28</v>
      </c>
      <c r="D13" s="32" t="s">
        <v>29</v>
      </c>
      <c r="E13" s="32" t="s">
        <v>21</v>
      </c>
      <c r="F13" s="50" t="str">
        <f t="shared" si="2"/>
        <v>CRM ChangesCAPEX</v>
      </c>
      <c r="G13" s="120">
        <f ca="1">(G11*Day_Rate)+G12</f>
        <v>0</v>
      </c>
      <c r="H13" s="120">
        <f ca="1">(H11*Day_Rate)+H12</f>
        <v>95000</v>
      </c>
      <c r="I13" s="120">
        <f ca="1">(I11*Day_Rate)+I12</f>
        <v>250000</v>
      </c>
      <c r="J13" s="31"/>
    </row>
    <row r="14" spans="2:10">
      <c r="B14" s="34"/>
      <c r="F14" s="50" t="str">
        <f t="shared" si="2"/>
        <v/>
      </c>
      <c r="G14" s="97"/>
      <c r="H14" s="97"/>
      <c r="I14" s="97"/>
      <c r="J14" s="31"/>
    </row>
    <row r="15" spans="2:10">
      <c r="B15" s="34"/>
      <c r="C15" s="32" t="s">
        <v>28</v>
      </c>
      <c r="D15" s="32" t="s">
        <v>58</v>
      </c>
      <c r="E15" s="32" t="s">
        <v>59</v>
      </c>
      <c r="F15" s="50" t="str">
        <f t="shared" si="2"/>
        <v>CRM ChangesOPEX_INPUT</v>
      </c>
      <c r="G15" s="98">
        <f ca="1">'Independent Cost Inputs'!Q23</f>
        <v>0.2</v>
      </c>
      <c r="H15" s="98">
        <f ca="1">'Independent Cost Inputs'!R23</f>
        <v>0.2</v>
      </c>
      <c r="I15" s="98">
        <f ca="1">'Independent Cost Inputs'!S23</f>
        <v>0.2</v>
      </c>
      <c r="J15" s="31"/>
    </row>
    <row r="16" spans="2:10">
      <c r="B16" s="34"/>
      <c r="C16" s="32" t="s">
        <v>28</v>
      </c>
      <c r="D16" s="32" t="s">
        <v>29</v>
      </c>
      <c r="E16" s="32" t="s">
        <v>22</v>
      </c>
      <c r="F16" s="50" t="str">
        <f t="shared" si="2"/>
        <v>CRM ChangesOPEX</v>
      </c>
      <c r="G16" s="121">
        <f ca="1">G15*G13</f>
        <v>0</v>
      </c>
      <c r="H16" s="121">
        <f t="shared" ref="H16:I16" ca="1" si="3">H15*H13</f>
        <v>19000</v>
      </c>
      <c r="I16" s="121">
        <f t="shared" ca="1" si="3"/>
        <v>50000</v>
      </c>
      <c r="J16" s="31"/>
    </row>
    <row r="17" spans="1:10">
      <c r="A17" s="42"/>
      <c r="B17" s="34"/>
      <c r="F17" s="50" t="str">
        <f t="shared" si="2"/>
        <v/>
      </c>
    </row>
    <row r="18" spans="1:10">
      <c r="A18" s="42"/>
      <c r="B18" s="34"/>
      <c r="C18" s="141" t="s">
        <v>30</v>
      </c>
      <c r="D18" s="141"/>
      <c r="E18" s="141"/>
      <c r="F18" s="141"/>
      <c r="G18" s="143"/>
      <c r="H18" s="143"/>
      <c r="I18" s="143"/>
    </row>
    <row r="19" spans="1:10">
      <c r="A19" s="42"/>
      <c r="B19" s="34"/>
    </row>
    <row r="20" spans="1:10">
      <c r="A20" s="42"/>
      <c r="B20" s="34"/>
      <c r="C20" s="32" t="s">
        <v>30</v>
      </c>
      <c r="G20" s="96"/>
      <c r="H20" s="96"/>
      <c r="I20" s="96"/>
    </row>
    <row r="21" spans="1:10">
      <c r="A21" s="42"/>
      <c r="B21" s="34"/>
    </row>
    <row r="22" spans="1:10">
      <c r="B22" s="34"/>
      <c r="C22" s="141" t="s">
        <v>31</v>
      </c>
      <c r="D22" s="141"/>
      <c r="E22" s="141"/>
      <c r="F22" s="142" t="str">
        <f t="shared" si="2"/>
        <v>Customer Order Management Changes</v>
      </c>
      <c r="G22" s="143"/>
      <c r="H22" s="143"/>
      <c r="I22" s="143"/>
    </row>
    <row r="23" spans="1:10">
      <c r="B23" s="34"/>
      <c r="F23" s="50" t="str">
        <f t="shared" si="2"/>
        <v/>
      </c>
    </row>
    <row r="24" spans="1:10">
      <c r="B24" s="34"/>
      <c r="C24" s="32" t="s">
        <v>31</v>
      </c>
      <c r="D24" s="32" t="s">
        <v>56</v>
      </c>
      <c r="E24" s="32" t="s">
        <v>57</v>
      </c>
      <c r="F24" s="50" t="str">
        <f t="shared" si="2"/>
        <v>Customer Order Management ChangesCAPEX_INPUT</v>
      </c>
      <c r="G24" s="96">
        <f>'Independent Cost Inputs'!Q25</f>
        <v>0</v>
      </c>
      <c r="H24" s="96">
        <f>'Independent Cost Inputs'!R25</f>
        <v>160</v>
      </c>
      <c r="I24" s="96">
        <f>'Independent Cost Inputs'!S25</f>
        <v>300</v>
      </c>
      <c r="J24" s="31"/>
    </row>
    <row r="25" spans="1:10">
      <c r="B25" s="34"/>
      <c r="C25" s="32" t="s">
        <v>31</v>
      </c>
      <c r="D25" s="32" t="s">
        <v>29</v>
      </c>
      <c r="E25" s="32" t="s">
        <v>57</v>
      </c>
      <c r="F25" s="50" t="str">
        <f t="shared" si="2"/>
        <v>Customer Order Management ChangesCAPEX_INPUT</v>
      </c>
      <c r="G25" s="96">
        <f>'Independent Cost Inputs'!Q26</f>
        <v>0</v>
      </c>
      <c r="H25" s="96">
        <f>'Independent Cost Inputs'!R26</f>
        <v>20000</v>
      </c>
      <c r="I25" s="96">
        <f>'Independent Cost Inputs'!S26</f>
        <v>50000</v>
      </c>
      <c r="J25" s="31"/>
    </row>
    <row r="26" spans="1:10">
      <c r="B26" s="34"/>
      <c r="C26" s="32" t="s">
        <v>31</v>
      </c>
      <c r="D26" s="32" t="s">
        <v>29</v>
      </c>
      <c r="E26" s="32" t="s">
        <v>21</v>
      </c>
      <c r="F26" s="50" t="str">
        <f t="shared" si="2"/>
        <v>Customer Order Management ChangesCAPEX</v>
      </c>
      <c r="G26" s="120">
        <f ca="1">(G24*Day_Rate)+G25</f>
        <v>0</v>
      </c>
      <c r="H26" s="120">
        <f ca="1">(H24*Day_Rate)+H25</f>
        <v>100000</v>
      </c>
      <c r="I26" s="120">
        <f ca="1">(I24*Day_Rate)+I25</f>
        <v>200000</v>
      </c>
    </row>
    <row r="27" spans="1:10">
      <c r="B27" s="34"/>
      <c r="F27" s="50" t="str">
        <f t="shared" si="2"/>
        <v/>
      </c>
    </row>
    <row r="28" spans="1:10">
      <c r="B28" s="34"/>
      <c r="C28" s="32" t="s">
        <v>31</v>
      </c>
      <c r="D28" s="32" t="s">
        <v>58</v>
      </c>
      <c r="E28" s="60" t="s">
        <v>59</v>
      </c>
      <c r="F28" s="50" t="str">
        <f t="shared" si="2"/>
        <v>Customer Order Management ChangesOPEX_INPUT</v>
      </c>
      <c r="G28" s="98">
        <f ca="1">'Independent Cost Inputs'!Q27</f>
        <v>0.2</v>
      </c>
      <c r="H28" s="98">
        <f ca="1">'Independent Cost Inputs'!R27</f>
        <v>0.2</v>
      </c>
      <c r="I28" s="98">
        <f ca="1">'Independent Cost Inputs'!S27</f>
        <v>0.2</v>
      </c>
    </row>
    <row r="29" spans="1:10">
      <c r="B29" s="34"/>
      <c r="C29" s="32" t="s">
        <v>31</v>
      </c>
      <c r="D29" s="32" t="s">
        <v>29</v>
      </c>
      <c r="E29" s="32" t="s">
        <v>22</v>
      </c>
      <c r="F29" s="50" t="str">
        <f t="shared" si="2"/>
        <v>Customer Order Management ChangesOPEX</v>
      </c>
      <c r="G29" s="122">
        <f ca="1">G28*G26</f>
        <v>0</v>
      </c>
      <c r="H29" s="122">
        <f t="shared" ref="H29:I29" ca="1" si="4">H28*H26</f>
        <v>20000</v>
      </c>
      <c r="I29" s="122">
        <f t="shared" ca="1" si="4"/>
        <v>40000</v>
      </c>
    </row>
    <row r="30" spans="1:10">
      <c r="B30" s="34"/>
      <c r="G30" s="97"/>
      <c r="H30" s="97"/>
      <c r="I30" s="97"/>
    </row>
    <row r="31" spans="1:10">
      <c r="B31" s="34"/>
      <c r="C31" s="141" t="s">
        <v>32</v>
      </c>
      <c r="D31" s="141"/>
      <c r="E31" s="141"/>
      <c r="F31" s="142" t="str">
        <f t="shared" si="2"/>
        <v>Service Order Management Changes</v>
      </c>
      <c r="G31" s="143"/>
      <c r="H31" s="143"/>
      <c r="I31" s="143"/>
    </row>
    <row r="32" spans="1:10">
      <c r="B32" s="34"/>
      <c r="F32" s="50" t="str">
        <f t="shared" si="2"/>
        <v/>
      </c>
    </row>
    <row r="33" spans="2:10">
      <c r="B33" s="34"/>
      <c r="C33" s="32" t="s">
        <v>32</v>
      </c>
      <c r="D33" s="32" t="s">
        <v>56</v>
      </c>
      <c r="E33" s="32" t="s">
        <v>57</v>
      </c>
      <c r="F33" s="50" t="str">
        <f t="shared" si="2"/>
        <v>Service Order Management ChangesCAPEX_INPUT</v>
      </c>
      <c r="G33" s="96">
        <f>'Independent Cost Inputs'!Q28</f>
        <v>0</v>
      </c>
      <c r="H33" s="96">
        <f>'Independent Cost Inputs'!R28</f>
        <v>60</v>
      </c>
      <c r="I33" s="96">
        <f>'Independent Cost Inputs'!S28</f>
        <v>300</v>
      </c>
      <c r="J33" s="31"/>
    </row>
    <row r="34" spans="2:10">
      <c r="B34" s="34"/>
      <c r="C34" s="32" t="s">
        <v>32</v>
      </c>
      <c r="D34" s="32" t="s">
        <v>29</v>
      </c>
      <c r="E34" s="32" t="s">
        <v>57</v>
      </c>
      <c r="F34" s="50" t="str">
        <f t="shared" si="2"/>
        <v>Service Order Management ChangesCAPEX_INPUT</v>
      </c>
      <c r="G34" s="96">
        <f>'Independent Cost Inputs'!Q29</f>
        <v>0</v>
      </c>
      <c r="H34" s="96">
        <f>'Independent Cost Inputs'!R29</f>
        <v>10000</v>
      </c>
      <c r="I34" s="96">
        <f>'Independent Cost Inputs'!S29</f>
        <v>40000</v>
      </c>
      <c r="J34" s="61"/>
    </row>
    <row r="35" spans="2:10">
      <c r="B35" s="34"/>
      <c r="C35" s="32" t="s">
        <v>32</v>
      </c>
      <c r="D35" s="32" t="s">
        <v>29</v>
      </c>
      <c r="E35" s="32" t="s">
        <v>21</v>
      </c>
      <c r="F35" s="50" t="str">
        <f t="shared" si="2"/>
        <v>Service Order Management ChangesCAPEX</v>
      </c>
      <c r="G35" s="120">
        <f ca="1">(G33*Day_Rate)+G34</f>
        <v>0</v>
      </c>
      <c r="H35" s="120">
        <f ca="1">(H33*Day_Rate)+H34</f>
        <v>40000</v>
      </c>
      <c r="I35" s="120">
        <f ca="1">(I33*Day_Rate)+I34</f>
        <v>190000</v>
      </c>
    </row>
    <row r="36" spans="2:10">
      <c r="B36" s="34"/>
      <c r="F36" s="50" t="str">
        <f t="shared" si="2"/>
        <v/>
      </c>
    </row>
    <row r="37" spans="2:10">
      <c r="B37" s="34"/>
      <c r="C37" s="32" t="s">
        <v>32</v>
      </c>
      <c r="D37" s="32" t="s">
        <v>58</v>
      </c>
      <c r="E37" s="60" t="s">
        <v>59</v>
      </c>
      <c r="F37" s="50" t="str">
        <f t="shared" si="2"/>
        <v>Service Order Management ChangesOPEX_INPUT</v>
      </c>
      <c r="G37" s="98">
        <f ca="1">'Independent Cost Inputs'!Q30</f>
        <v>0.2</v>
      </c>
      <c r="H37" s="98">
        <f ca="1">'Independent Cost Inputs'!R30</f>
        <v>0.2</v>
      </c>
      <c r="I37" s="98">
        <f ca="1">'Independent Cost Inputs'!S30</f>
        <v>0.2</v>
      </c>
    </row>
    <row r="38" spans="2:10">
      <c r="B38" s="34"/>
      <c r="C38" s="32" t="s">
        <v>32</v>
      </c>
      <c r="D38" s="32" t="s">
        <v>29</v>
      </c>
      <c r="E38" s="32" t="s">
        <v>22</v>
      </c>
      <c r="F38" s="50" t="str">
        <f t="shared" si="2"/>
        <v>Service Order Management ChangesOPEX</v>
      </c>
      <c r="G38" s="122">
        <f ca="1">G37*G35</f>
        <v>0</v>
      </c>
      <c r="H38" s="122">
        <f t="shared" ref="H38:I38" ca="1" si="5">H37*H35</f>
        <v>8000</v>
      </c>
      <c r="I38" s="122">
        <f t="shared" ca="1" si="5"/>
        <v>38000</v>
      </c>
    </row>
    <row r="39" spans="2:10">
      <c r="B39" s="34"/>
      <c r="F39" s="50" t="str">
        <f t="shared" si="2"/>
        <v/>
      </c>
    </row>
    <row r="40" spans="2:10" ht="25.5">
      <c r="B40" s="34"/>
      <c r="C40" s="141" t="s">
        <v>33</v>
      </c>
      <c r="D40" s="141"/>
      <c r="E40" s="141"/>
      <c r="F40" s="141" t="str">
        <f t="shared" si="2"/>
        <v>Partner Management Changes</v>
      </c>
      <c r="G40" s="143"/>
      <c r="H40" s="143"/>
      <c r="I40" s="143"/>
      <c r="J40" s="31"/>
    </row>
    <row r="41" spans="2:10">
      <c r="B41" s="34"/>
      <c r="F41" s="50" t="str">
        <f t="shared" si="2"/>
        <v/>
      </c>
      <c r="J41" s="61"/>
    </row>
    <row r="42" spans="2:10">
      <c r="B42" s="34"/>
      <c r="C42" s="32" t="s">
        <v>33</v>
      </c>
      <c r="D42" s="32" t="s">
        <v>56</v>
      </c>
      <c r="E42" s="32" t="s">
        <v>57</v>
      </c>
      <c r="F42" s="50" t="str">
        <f t="shared" si="2"/>
        <v>Partner Management ChangesCAPEX_INPUT</v>
      </c>
      <c r="G42" s="96">
        <f>'Independent Cost Inputs'!Q31</f>
        <v>0</v>
      </c>
      <c r="H42" s="96">
        <f>'Independent Cost Inputs'!R31</f>
        <v>70</v>
      </c>
      <c r="I42" s="96">
        <f>'Independent Cost Inputs'!S31</f>
        <v>150</v>
      </c>
      <c r="J42" s="31"/>
    </row>
    <row r="43" spans="2:10">
      <c r="B43" s="34"/>
      <c r="C43" s="32" t="s">
        <v>33</v>
      </c>
      <c r="D43" s="32" t="s">
        <v>29</v>
      </c>
      <c r="E43" s="32" t="s">
        <v>57</v>
      </c>
      <c r="F43" s="50" t="str">
        <f t="shared" si="2"/>
        <v>Partner Management ChangesCAPEX_INPUT</v>
      </c>
      <c r="G43" s="96">
        <f>'Independent Cost Inputs'!Q32</f>
        <v>0</v>
      </c>
      <c r="H43" s="96">
        <f>'Independent Cost Inputs'!R32</f>
        <v>0</v>
      </c>
      <c r="I43" s="96">
        <f>'Independent Cost Inputs'!S32</f>
        <v>0</v>
      </c>
      <c r="J43" s="61"/>
    </row>
    <row r="44" spans="2:10">
      <c r="B44" s="34"/>
      <c r="C44" s="32" t="s">
        <v>33</v>
      </c>
      <c r="D44" s="32" t="s">
        <v>29</v>
      </c>
      <c r="E44" s="32" t="s">
        <v>21</v>
      </c>
      <c r="F44" s="89" t="str">
        <f t="shared" si="2"/>
        <v>Partner Management ChangesCAPEX</v>
      </c>
      <c r="G44" s="120">
        <f ca="1">(G42*Day_Rate)+G43</f>
        <v>0</v>
      </c>
      <c r="H44" s="120">
        <f ca="1">(H42*Day_Rate)+H43</f>
        <v>35000</v>
      </c>
      <c r="I44" s="120">
        <f ca="1">(I42*Day_Rate)+I43</f>
        <v>75000</v>
      </c>
    </row>
    <row r="45" spans="2:10">
      <c r="B45" s="34"/>
    </row>
    <row r="46" spans="2:10">
      <c r="B46" s="34"/>
      <c r="C46" s="32" t="s">
        <v>33</v>
      </c>
      <c r="D46" s="32" t="s">
        <v>58</v>
      </c>
      <c r="E46" s="60" t="s">
        <v>59</v>
      </c>
      <c r="F46" s="89" t="str">
        <f t="shared" si="2"/>
        <v>Partner Management ChangesOPEX_INPUT</v>
      </c>
      <c r="G46" s="98">
        <f ca="1">'Independent Cost Inputs'!Q33</f>
        <v>0.2</v>
      </c>
      <c r="H46" s="98">
        <f ca="1">'Independent Cost Inputs'!R33</f>
        <v>0.2</v>
      </c>
      <c r="I46" s="98">
        <f ca="1">'Independent Cost Inputs'!S33</f>
        <v>0.2</v>
      </c>
    </row>
    <row r="47" spans="2:10">
      <c r="B47" s="34"/>
      <c r="C47" s="32" t="s">
        <v>33</v>
      </c>
      <c r="D47" s="32" t="s">
        <v>29</v>
      </c>
      <c r="E47" s="32" t="s">
        <v>22</v>
      </c>
      <c r="F47" s="89" t="str">
        <f t="shared" si="2"/>
        <v>Partner Management ChangesOPEX</v>
      </c>
      <c r="G47" s="122">
        <f ca="1">G46*G44</f>
        <v>0</v>
      </c>
      <c r="H47" s="122">
        <f t="shared" ref="H47:I47" ca="1" si="6">H46*H44</f>
        <v>7000</v>
      </c>
      <c r="I47" s="122">
        <f t="shared" ca="1" si="6"/>
        <v>15000</v>
      </c>
    </row>
    <row r="48" spans="2:10">
      <c r="B48" s="34"/>
    </row>
    <row r="49" spans="2:10">
      <c r="B49" s="34"/>
      <c r="C49" s="141" t="s">
        <v>34</v>
      </c>
      <c r="D49" s="141"/>
      <c r="E49" s="141"/>
      <c r="F49" s="141"/>
      <c r="G49" s="143"/>
      <c r="H49" s="143"/>
      <c r="I49" s="143"/>
      <c r="J49" s="31"/>
    </row>
    <row r="50" spans="2:10">
      <c r="B50" s="34"/>
      <c r="J50" s="61"/>
    </row>
    <row r="51" spans="2:10">
      <c r="B51" s="34"/>
      <c r="C51" s="32" t="s">
        <v>34</v>
      </c>
      <c r="D51" s="32" t="s">
        <v>56</v>
      </c>
      <c r="E51" s="32" t="s">
        <v>57</v>
      </c>
      <c r="F51" s="89" t="str">
        <f t="shared" ref="F51:F53" si="7">C51&amp;E51</f>
        <v>Customer Problem Management ChangesCAPEX_INPUT</v>
      </c>
      <c r="G51" s="96">
        <f>'Independent Cost Inputs'!Q34</f>
        <v>0</v>
      </c>
      <c r="H51" s="96">
        <f>'Independent Cost Inputs'!R34</f>
        <v>70</v>
      </c>
      <c r="I51" s="96">
        <f>'Independent Cost Inputs'!S34</f>
        <v>150</v>
      </c>
      <c r="J51" s="31"/>
    </row>
    <row r="52" spans="2:10">
      <c r="B52" s="34"/>
      <c r="C52" s="32" t="s">
        <v>34</v>
      </c>
      <c r="D52" s="32" t="s">
        <v>29</v>
      </c>
      <c r="E52" s="32" t="s">
        <v>57</v>
      </c>
      <c r="F52" s="89" t="str">
        <f t="shared" si="7"/>
        <v>Customer Problem Management ChangesCAPEX_INPUT</v>
      </c>
      <c r="G52" s="96">
        <f>'Independent Cost Inputs'!Q35</f>
        <v>0</v>
      </c>
      <c r="H52" s="96">
        <f>'Independent Cost Inputs'!R35</f>
        <v>0</v>
      </c>
      <c r="I52" s="96">
        <f>'Independent Cost Inputs'!S35</f>
        <v>0</v>
      </c>
      <c r="J52" s="61"/>
    </row>
    <row r="53" spans="2:10">
      <c r="B53" s="34"/>
      <c r="C53" s="32" t="s">
        <v>34</v>
      </c>
      <c r="D53" s="32" t="s">
        <v>29</v>
      </c>
      <c r="E53" s="32" t="s">
        <v>21</v>
      </c>
      <c r="F53" s="89" t="str">
        <f t="shared" si="7"/>
        <v>Customer Problem Management ChangesCAPEX</v>
      </c>
      <c r="G53" s="120">
        <f ca="1">(G51*Day_Rate)+G52</f>
        <v>0</v>
      </c>
      <c r="H53" s="120">
        <f ca="1">(H51*Day_Rate)+H52</f>
        <v>35000</v>
      </c>
      <c r="I53" s="120">
        <f ca="1">(I51*Day_Rate)+I52</f>
        <v>75000</v>
      </c>
    </row>
    <row r="54" spans="2:10">
      <c r="B54" s="34"/>
    </row>
    <row r="55" spans="2:10">
      <c r="B55" s="34"/>
      <c r="C55" s="32" t="s">
        <v>34</v>
      </c>
      <c r="D55" s="32" t="s">
        <v>58</v>
      </c>
      <c r="E55" s="60" t="s">
        <v>59</v>
      </c>
      <c r="F55" s="89" t="str">
        <f t="shared" ref="F55:F56" si="8">C55&amp;E55</f>
        <v>Customer Problem Management ChangesOPEX_INPUT</v>
      </c>
      <c r="G55" s="98">
        <f ca="1">'Independent Cost Inputs'!Q36</f>
        <v>0.2</v>
      </c>
      <c r="H55" s="98">
        <f ca="1">'Independent Cost Inputs'!R36</f>
        <v>0.2</v>
      </c>
      <c r="I55" s="98">
        <f ca="1">'Independent Cost Inputs'!S36</f>
        <v>0.2</v>
      </c>
    </row>
    <row r="56" spans="2:10">
      <c r="B56" s="34"/>
      <c r="C56" s="32" t="s">
        <v>34</v>
      </c>
      <c r="D56" s="32" t="s">
        <v>29</v>
      </c>
      <c r="E56" s="32" t="s">
        <v>22</v>
      </c>
      <c r="F56" s="89" t="str">
        <f t="shared" si="8"/>
        <v>Customer Problem Management ChangesOPEX</v>
      </c>
      <c r="G56" s="122">
        <f ca="1">G55*G53</f>
        <v>0</v>
      </c>
      <c r="H56" s="122">
        <f t="shared" ref="H56:I56" ca="1" si="9">H55*H53</f>
        <v>7000</v>
      </c>
      <c r="I56" s="122">
        <f t="shared" ca="1" si="9"/>
        <v>15000</v>
      </c>
    </row>
    <row r="57" spans="2:10">
      <c r="B57" s="34"/>
    </row>
    <row r="58" spans="2:10">
      <c r="B58" s="34"/>
      <c r="C58" s="141" t="s">
        <v>35</v>
      </c>
      <c r="D58" s="141"/>
      <c r="E58" s="141"/>
      <c r="F58" s="141"/>
      <c r="G58" s="143"/>
      <c r="H58" s="143"/>
      <c r="I58" s="143"/>
      <c r="J58" s="31"/>
    </row>
    <row r="59" spans="2:10">
      <c r="B59" s="34"/>
      <c r="J59" s="61"/>
    </row>
    <row r="60" spans="2:10">
      <c r="B60" s="34"/>
      <c r="C60" s="32" t="s">
        <v>35</v>
      </c>
      <c r="D60" s="32" t="s">
        <v>56</v>
      </c>
      <c r="E60" s="32" t="s">
        <v>57</v>
      </c>
      <c r="F60" s="89" t="str">
        <f t="shared" ref="F60:F62" si="10">C60&amp;E60</f>
        <v>Service Problem Management ChangesCAPEX_INPUT</v>
      </c>
      <c r="G60" s="96">
        <f>'Independent Cost Inputs'!Q37</f>
        <v>0</v>
      </c>
      <c r="H60" s="96">
        <f>'Independent Cost Inputs'!R37</f>
        <v>20</v>
      </c>
      <c r="I60" s="96">
        <f>'Independent Cost Inputs'!S37</f>
        <v>60</v>
      </c>
    </row>
    <row r="61" spans="2:10">
      <c r="B61" s="34"/>
      <c r="C61" s="32" t="s">
        <v>35</v>
      </c>
      <c r="D61" s="32" t="s">
        <v>29</v>
      </c>
      <c r="E61" s="32" t="s">
        <v>57</v>
      </c>
      <c r="F61" s="89" t="str">
        <f t="shared" si="10"/>
        <v>Service Problem Management ChangesCAPEX_INPUT</v>
      </c>
      <c r="G61" s="96">
        <f>'Independent Cost Inputs'!Q38</f>
        <v>0</v>
      </c>
      <c r="H61" s="96">
        <f>'Independent Cost Inputs'!R38</f>
        <v>0</v>
      </c>
      <c r="I61" s="96">
        <f>'Independent Cost Inputs'!S38</f>
        <v>0</v>
      </c>
    </row>
    <row r="62" spans="2:10">
      <c r="B62" s="34"/>
      <c r="C62" s="32" t="s">
        <v>35</v>
      </c>
      <c r="D62" s="32" t="s">
        <v>29</v>
      </c>
      <c r="E62" s="32" t="s">
        <v>21</v>
      </c>
      <c r="F62" s="89" t="str">
        <f t="shared" si="10"/>
        <v>Service Problem Management ChangesCAPEX</v>
      </c>
      <c r="G62" s="120">
        <f ca="1">(G60*Day_Rate)+G61</f>
        <v>0</v>
      </c>
      <c r="H62" s="120">
        <f ca="1">(H60*Day_Rate)+H61</f>
        <v>10000</v>
      </c>
      <c r="I62" s="120">
        <f ca="1">(I60*Day_Rate)+I61</f>
        <v>30000</v>
      </c>
    </row>
    <row r="63" spans="2:10">
      <c r="B63" s="34"/>
    </row>
    <row r="64" spans="2:10">
      <c r="B64" s="34"/>
      <c r="C64" s="32" t="s">
        <v>35</v>
      </c>
      <c r="D64" s="32" t="s">
        <v>58</v>
      </c>
      <c r="E64" s="60" t="s">
        <v>59</v>
      </c>
      <c r="F64" s="89" t="str">
        <f t="shared" ref="F64:F65" si="11">C64&amp;E64</f>
        <v>Service Problem Management ChangesOPEX_INPUT</v>
      </c>
      <c r="G64" s="98">
        <f ca="1">'Independent Cost Inputs'!Q39</f>
        <v>0.2</v>
      </c>
      <c r="H64" s="98">
        <f ca="1">'Independent Cost Inputs'!R39</f>
        <v>0.2</v>
      </c>
      <c r="I64" s="98">
        <f ca="1">'Independent Cost Inputs'!S39</f>
        <v>0.2</v>
      </c>
    </row>
    <row r="65" spans="2:9">
      <c r="B65" s="34"/>
      <c r="C65" s="32" t="s">
        <v>35</v>
      </c>
      <c r="D65" s="32" t="s">
        <v>29</v>
      </c>
      <c r="E65" s="32" t="s">
        <v>22</v>
      </c>
      <c r="F65" s="89" t="str">
        <f t="shared" si="11"/>
        <v>Service Problem Management ChangesOPEX</v>
      </c>
      <c r="G65" s="120">
        <f ca="1">G64*G62</f>
        <v>0</v>
      </c>
      <c r="H65" s="120">
        <f ca="1">H64*H62</f>
        <v>2000</v>
      </c>
      <c r="I65" s="120">
        <f ca="1">I64*I62</f>
        <v>6000</v>
      </c>
    </row>
    <row r="67" spans="2:9">
      <c r="C67" s="141" t="s">
        <v>312</v>
      </c>
      <c r="D67" s="141"/>
      <c r="E67" s="141"/>
      <c r="F67" s="141"/>
      <c r="G67" s="143"/>
      <c r="H67" s="143"/>
      <c r="I67" s="143"/>
    </row>
    <row r="68" spans="2:9">
      <c r="F68" s="89"/>
    </row>
    <row r="69" spans="2:9">
      <c r="C69" s="32" t="s">
        <v>312</v>
      </c>
      <c r="D69" s="32" t="s">
        <v>56</v>
      </c>
      <c r="E69" s="32" t="s">
        <v>57</v>
      </c>
      <c r="F69" s="89" t="str">
        <f t="shared" ref="F69:F71" si="12">C69&amp;E69</f>
        <v>Transactional Document ProductionCAPEX_INPUT</v>
      </c>
      <c r="G69" s="96">
        <f>'Independent Cost Inputs'!Q40</f>
        <v>0</v>
      </c>
      <c r="H69" s="96">
        <f>'Independent Cost Inputs'!R40</f>
        <v>0</v>
      </c>
      <c r="I69" s="96">
        <f>'Independent Cost Inputs'!S40</f>
        <v>0</v>
      </c>
    </row>
    <row r="70" spans="2:9">
      <c r="C70" s="32" t="s">
        <v>312</v>
      </c>
      <c r="D70" s="32" t="s">
        <v>29</v>
      </c>
      <c r="E70" s="32" t="s">
        <v>57</v>
      </c>
      <c r="F70" s="89" t="str">
        <f t="shared" si="12"/>
        <v>Transactional Document ProductionCAPEX_INPUT</v>
      </c>
      <c r="G70" s="96">
        <f>'Independent Cost Inputs'!Q41</f>
        <v>0</v>
      </c>
      <c r="H70" s="96">
        <f>'Independent Cost Inputs'!R41</f>
        <v>0</v>
      </c>
      <c r="I70" s="96">
        <f>'Independent Cost Inputs'!S41</f>
        <v>0</v>
      </c>
    </row>
    <row r="71" spans="2:9">
      <c r="C71" s="32" t="s">
        <v>312</v>
      </c>
      <c r="D71" s="32" t="s">
        <v>29</v>
      </c>
      <c r="E71" s="32" t="s">
        <v>21</v>
      </c>
      <c r="F71" s="89" t="str">
        <f t="shared" si="12"/>
        <v>Transactional Document ProductionCAPEX</v>
      </c>
      <c r="G71" s="120">
        <f ca="1">(G69*Day_Rate)+G70</f>
        <v>0</v>
      </c>
      <c r="H71" s="120">
        <f ca="1">(H69*Day_Rate)+H70</f>
        <v>0</v>
      </c>
      <c r="I71" s="120">
        <f ca="1">(I69*Day_Rate)+I70</f>
        <v>0</v>
      </c>
    </row>
    <row r="72" spans="2:9">
      <c r="F72" s="89"/>
    </row>
    <row r="73" spans="2:9">
      <c r="C73" s="32" t="s">
        <v>312</v>
      </c>
      <c r="D73" s="32" t="s">
        <v>58</v>
      </c>
      <c r="E73" s="60" t="s">
        <v>59</v>
      </c>
      <c r="F73" s="89" t="str">
        <f t="shared" ref="F73:F74" si="13">C73&amp;E73</f>
        <v>Transactional Document ProductionOPEX_INPUT</v>
      </c>
      <c r="G73" s="98">
        <f>'Independent Cost Inputs'!Q42</f>
        <v>0</v>
      </c>
      <c r="H73" s="98">
        <f>'Independent Cost Inputs'!R42</f>
        <v>0</v>
      </c>
      <c r="I73" s="98">
        <f>'Independent Cost Inputs'!S42</f>
        <v>0</v>
      </c>
    </row>
    <row r="74" spans="2:9">
      <c r="C74" s="32" t="s">
        <v>312</v>
      </c>
      <c r="D74" s="32" t="s">
        <v>29</v>
      </c>
      <c r="E74" s="32" t="s">
        <v>22</v>
      </c>
      <c r="F74" s="89" t="str">
        <f t="shared" si="13"/>
        <v>Transactional Document ProductionOPEX</v>
      </c>
      <c r="G74" s="120">
        <f ca="1">G73*G71</f>
        <v>0</v>
      </c>
      <c r="H74" s="120">
        <f ca="1">H73*H71</f>
        <v>0</v>
      </c>
      <c r="I74" s="120">
        <f ca="1">I73*I71</f>
        <v>0</v>
      </c>
    </row>
    <row r="75" spans="2:9">
      <c r="F75" s="89"/>
    </row>
    <row r="76" spans="2:9">
      <c r="C76" s="141" t="s">
        <v>313</v>
      </c>
      <c r="D76" s="141"/>
      <c r="E76" s="141"/>
      <c r="F76" s="141"/>
      <c r="G76" s="143"/>
      <c r="H76" s="143"/>
      <c r="I76" s="143"/>
    </row>
    <row r="77" spans="2:9">
      <c r="F77" s="89"/>
    </row>
    <row r="78" spans="2:9">
      <c r="C78" s="32" t="s">
        <v>313</v>
      </c>
      <c r="D78" s="32" t="s">
        <v>56</v>
      </c>
      <c r="E78" s="32" t="s">
        <v>57</v>
      </c>
      <c r="F78" s="89" t="str">
        <f t="shared" ref="F78:F80" si="14">C78&amp;E78</f>
        <v>Customer Self ManagementCAPEX_INPUT</v>
      </c>
      <c r="G78" s="96">
        <f>'Independent Cost Inputs'!Q43</f>
        <v>0</v>
      </c>
      <c r="H78" s="96">
        <f>'Independent Cost Inputs'!R43</f>
        <v>60</v>
      </c>
      <c r="I78" s="96">
        <f>'Independent Cost Inputs'!S43</f>
        <v>120</v>
      </c>
    </row>
    <row r="79" spans="2:9">
      <c r="C79" s="32" t="s">
        <v>313</v>
      </c>
      <c r="D79" s="32" t="s">
        <v>29</v>
      </c>
      <c r="E79" s="32" t="s">
        <v>57</v>
      </c>
      <c r="F79" s="89" t="str">
        <f t="shared" si="14"/>
        <v>Customer Self ManagementCAPEX_INPUT</v>
      </c>
      <c r="G79" s="96">
        <f>'Independent Cost Inputs'!Q44</f>
        <v>0</v>
      </c>
      <c r="H79" s="96">
        <f>'Independent Cost Inputs'!R44</f>
        <v>0</v>
      </c>
      <c r="I79" s="96">
        <f>'Independent Cost Inputs'!S44</f>
        <v>0</v>
      </c>
    </row>
    <row r="80" spans="2:9">
      <c r="C80" s="32" t="s">
        <v>313</v>
      </c>
      <c r="D80" s="32" t="s">
        <v>29</v>
      </c>
      <c r="E80" s="32" t="s">
        <v>21</v>
      </c>
      <c r="F80" s="89" t="str">
        <f t="shared" si="14"/>
        <v>Customer Self ManagementCAPEX</v>
      </c>
      <c r="G80" s="120">
        <f ca="1">(G78*Day_Rate)+G79</f>
        <v>0</v>
      </c>
      <c r="H80" s="120">
        <f ca="1">(H78*Day_Rate)+H79</f>
        <v>30000</v>
      </c>
      <c r="I80" s="120">
        <f ca="1">(I78*Day_Rate)+I79</f>
        <v>60000</v>
      </c>
    </row>
    <row r="81" spans="3:9">
      <c r="F81" s="89"/>
    </row>
    <row r="82" spans="3:9">
      <c r="C82" s="32" t="s">
        <v>313</v>
      </c>
      <c r="D82" s="32" t="s">
        <v>58</v>
      </c>
      <c r="E82" s="60" t="s">
        <v>59</v>
      </c>
      <c r="F82" s="89" t="str">
        <f t="shared" ref="F82:F83" si="15">C82&amp;E82</f>
        <v>Customer Self ManagementOPEX_INPUT</v>
      </c>
      <c r="G82" s="98">
        <f ca="1">'Independent Cost Inputs'!Q45</f>
        <v>0.2</v>
      </c>
      <c r="H82" s="98">
        <f ca="1">'Independent Cost Inputs'!R45</f>
        <v>0.2</v>
      </c>
      <c r="I82" s="98">
        <f ca="1">'Independent Cost Inputs'!S45</f>
        <v>0.2</v>
      </c>
    </row>
    <row r="83" spans="3:9">
      <c r="C83" s="32" t="s">
        <v>313</v>
      </c>
      <c r="D83" s="32" t="s">
        <v>29</v>
      </c>
      <c r="E83" s="32" t="s">
        <v>22</v>
      </c>
      <c r="F83" s="89" t="str">
        <f t="shared" si="15"/>
        <v>Customer Self ManagementOPEX</v>
      </c>
      <c r="G83" s="120">
        <f ca="1">G82*G80</f>
        <v>0</v>
      </c>
      <c r="H83" s="120">
        <f ca="1">H82*H80</f>
        <v>6000</v>
      </c>
      <c r="I83" s="120">
        <f ca="1">I82*I80</f>
        <v>12000</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sheetPr codeName="Sheet30"/>
  <dimension ref="A2:L122"/>
  <sheetViews>
    <sheetView showGridLines="0" zoomScale="70" zoomScaleNormal="70" workbookViewId="0">
      <selection activeCell="I29" sqref="I29"/>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50" hidden="1" customWidth="1"/>
    <col min="7" max="9" width="16" style="32" customWidth="1"/>
    <col min="10" max="16384" width="9.140625" style="30"/>
  </cols>
  <sheetData>
    <row r="2" spans="2:9">
      <c r="B2" s="39" t="s">
        <v>0</v>
      </c>
      <c r="C2" s="49" t="str">
        <f ca="1">MID(CELL("filename",A1),FIND("]",CELL("filename",A1))+1,256)</f>
        <v>TPV - Central Costs</v>
      </c>
    </row>
    <row r="3" spans="2:9">
      <c r="B3" s="39" t="s">
        <v>1</v>
      </c>
      <c r="C3" s="50" t="s">
        <v>67</v>
      </c>
    </row>
    <row r="5" spans="2:9" s="51" customFormat="1">
      <c r="B5" s="51" t="s">
        <v>18</v>
      </c>
      <c r="C5" s="52" t="s">
        <v>19</v>
      </c>
      <c r="D5" s="52" t="s">
        <v>20</v>
      </c>
      <c r="E5" s="52" t="s">
        <v>52</v>
      </c>
      <c r="F5" s="53" t="s">
        <v>53</v>
      </c>
      <c r="G5" s="124" t="s">
        <v>50</v>
      </c>
      <c r="H5" s="124" t="s">
        <v>131</v>
      </c>
      <c r="I5" s="124" t="s">
        <v>23</v>
      </c>
    </row>
    <row r="7" spans="2:9">
      <c r="B7" s="144" t="s">
        <v>4</v>
      </c>
      <c r="C7" s="32" t="s">
        <v>21</v>
      </c>
      <c r="G7" s="125">
        <f ca="1">SUMIF($E$11:$E$201,"CAPEX",G11:G201)</f>
        <v>1325000</v>
      </c>
      <c r="H7" s="125">
        <f t="shared" ref="H7:I7" ca="1" si="0">SUMIF($E$11:$E$201,"CAPEX",H11:H201)</f>
        <v>1550000</v>
      </c>
      <c r="I7" s="125">
        <f t="shared" ca="1" si="0"/>
        <v>1875000</v>
      </c>
    </row>
    <row r="8" spans="2:9">
      <c r="C8" s="32" t="s">
        <v>22</v>
      </c>
      <c r="G8" s="125">
        <f ca="1">SUMIF($E$11:$E$201,"OPEX",G11:G201)</f>
        <v>575000</v>
      </c>
      <c r="H8" s="125">
        <f t="shared" ref="H8:I8" ca="1" si="1">SUMIF($E$11:$E$201,"OPEX",H11:H201)</f>
        <v>890000</v>
      </c>
      <c r="I8" s="125">
        <f t="shared" ca="1" si="1"/>
        <v>1185000</v>
      </c>
    </row>
    <row r="9" spans="2:9">
      <c r="B9" s="34"/>
      <c r="C9" s="141" t="s">
        <v>42</v>
      </c>
      <c r="D9" s="141"/>
      <c r="E9" s="141"/>
      <c r="F9" s="142"/>
      <c r="G9" s="141"/>
      <c r="H9" s="141"/>
      <c r="I9" s="141"/>
    </row>
    <row r="10" spans="2:9" s="39" customFormat="1">
      <c r="C10" s="34"/>
      <c r="D10" s="34"/>
      <c r="E10" s="34"/>
      <c r="F10" s="55"/>
      <c r="G10" s="34"/>
      <c r="H10" s="34"/>
      <c r="I10" s="34"/>
    </row>
    <row r="11" spans="2:9">
      <c r="C11" s="32" t="s">
        <v>42</v>
      </c>
      <c r="D11" s="32" t="s">
        <v>56</v>
      </c>
      <c r="E11" s="32" t="s">
        <v>57</v>
      </c>
      <c r="F11" s="50" t="str">
        <f t="shared" ref="F11:F17" si="2">C11&amp;E11</f>
        <v>Hub System CostsCAPEX_INPUT</v>
      </c>
      <c r="G11" s="96">
        <f>'Independent Cost Inputs'!Q54</f>
        <v>2200</v>
      </c>
      <c r="H11" s="96">
        <f>'Independent Cost Inputs'!R54</f>
        <v>2500</v>
      </c>
      <c r="I11" s="96">
        <f>'Independent Cost Inputs'!S54</f>
        <v>3000</v>
      </c>
    </row>
    <row r="12" spans="2:9">
      <c r="C12" s="32" t="s">
        <v>42</v>
      </c>
      <c r="D12" s="32" t="s">
        <v>29</v>
      </c>
      <c r="E12" s="32" t="s">
        <v>57</v>
      </c>
      <c r="F12" s="50" t="str">
        <f t="shared" si="2"/>
        <v>Hub System CostsCAPEX_INPUT</v>
      </c>
      <c r="G12" s="96">
        <f>'Independent Cost Inputs'!Q55</f>
        <v>150000</v>
      </c>
      <c r="H12" s="96">
        <f>'Independent Cost Inputs'!R55</f>
        <v>200000</v>
      </c>
      <c r="I12" s="96">
        <f>'Independent Cost Inputs'!S55</f>
        <v>225000</v>
      </c>
    </row>
    <row r="13" spans="2:9">
      <c r="C13" s="32" t="s">
        <v>42</v>
      </c>
      <c r="D13" s="32" t="s">
        <v>29</v>
      </c>
      <c r="E13" s="32" t="s">
        <v>21</v>
      </c>
      <c r="F13" s="50" t="str">
        <f t="shared" si="2"/>
        <v>Hub System CostsCAPEX</v>
      </c>
      <c r="G13" s="120">
        <f ca="1">(G11*Day_Rate)+G12</f>
        <v>1250000</v>
      </c>
      <c r="H13" s="120">
        <f ca="1">(H11*Day_Rate)+H12</f>
        <v>1450000</v>
      </c>
      <c r="I13" s="120">
        <f ca="1">(I11*Day_Rate)+I12</f>
        <v>1725000</v>
      </c>
    </row>
    <row r="14" spans="2:9">
      <c r="F14" s="50" t="str">
        <f t="shared" si="2"/>
        <v/>
      </c>
      <c r="G14" s="97"/>
      <c r="H14" s="97"/>
      <c r="I14" s="97"/>
    </row>
    <row r="15" spans="2:9">
      <c r="C15" s="32" t="s">
        <v>42</v>
      </c>
      <c r="D15" s="32" t="s">
        <v>58</v>
      </c>
      <c r="E15" s="32" t="s">
        <v>59</v>
      </c>
      <c r="F15" s="50" t="str">
        <f t="shared" si="2"/>
        <v>Hub System CostsOPEX_INPUT</v>
      </c>
      <c r="G15" s="98">
        <f>'Independent Cost Inputs'!Q56</f>
        <v>0.1</v>
      </c>
      <c r="H15" s="98">
        <f ca="1">'Independent Cost Inputs'!R56</f>
        <v>0.2</v>
      </c>
      <c r="I15" s="98">
        <f>'Independent Cost Inputs'!S56</f>
        <v>0.2</v>
      </c>
    </row>
    <row r="16" spans="2:9">
      <c r="C16" s="32" t="s">
        <v>42</v>
      </c>
      <c r="D16" s="32" t="s">
        <v>29</v>
      </c>
      <c r="E16" s="32" t="s">
        <v>22</v>
      </c>
      <c r="F16" s="50" t="str">
        <f t="shared" si="2"/>
        <v>Hub System CostsOPEX</v>
      </c>
      <c r="G16" s="121">
        <f ca="1">G15*G13</f>
        <v>125000</v>
      </c>
      <c r="H16" s="121">
        <f ca="1">H15*H13</f>
        <v>290000</v>
      </c>
      <c r="I16" s="121">
        <f ca="1">I15*I13</f>
        <v>345000</v>
      </c>
    </row>
    <row r="17" spans="1:9">
      <c r="A17" s="42"/>
      <c r="B17" s="42"/>
      <c r="F17" s="50" t="str">
        <f t="shared" si="2"/>
        <v/>
      </c>
      <c r="G17" s="95"/>
      <c r="H17" s="95"/>
      <c r="I17" s="95"/>
    </row>
    <row r="18" spans="1:9">
      <c r="A18" s="42"/>
      <c r="B18" s="42"/>
      <c r="C18" s="141" t="s">
        <v>45</v>
      </c>
      <c r="D18" s="141"/>
      <c r="E18" s="141"/>
      <c r="F18" s="142"/>
      <c r="G18" s="141"/>
      <c r="H18" s="141"/>
      <c r="I18" s="141"/>
    </row>
    <row r="19" spans="1:9">
      <c r="A19" s="42"/>
      <c r="B19" s="42"/>
      <c r="G19" s="95"/>
      <c r="H19" s="95"/>
      <c r="I19" s="95"/>
    </row>
    <row r="20" spans="1:9">
      <c r="A20" s="42"/>
      <c r="B20" s="42"/>
      <c r="C20" s="34" t="s">
        <v>45</v>
      </c>
      <c r="D20" s="32" t="s">
        <v>61</v>
      </c>
      <c r="E20" s="32" t="s">
        <v>62</v>
      </c>
      <c r="F20" s="50" t="str">
        <f t="shared" ref="F20:F25" si="3">C20&amp;E20</f>
        <v>Hub Process CostsCAPEX _INPUT</v>
      </c>
      <c r="G20" s="116">
        <f>'Independent Cost Inputs'!Q57</f>
        <v>15</v>
      </c>
      <c r="H20" s="116">
        <f>'Independent Cost Inputs'!R57</f>
        <v>20</v>
      </c>
      <c r="I20" s="116">
        <f>'Independent Cost Inputs'!S57</f>
        <v>20</v>
      </c>
    </row>
    <row r="21" spans="1:9">
      <c r="A21" s="42"/>
      <c r="B21" s="42"/>
      <c r="C21" s="34" t="s">
        <v>45</v>
      </c>
      <c r="D21" s="32" t="s">
        <v>61</v>
      </c>
      <c r="E21" s="32" t="s">
        <v>62</v>
      </c>
      <c r="F21" s="89" t="str">
        <f t="shared" si="3"/>
        <v>Hub Process CostsCAPEX _INPUT</v>
      </c>
      <c r="G21" s="116">
        <f>'Independent Cost Inputs'!H58</f>
        <v>10</v>
      </c>
      <c r="H21" s="116">
        <f>'Independent Cost Inputs'!I58</f>
        <v>10</v>
      </c>
      <c r="I21" s="116">
        <f>'Independent Cost Inputs'!J58</f>
        <v>15</v>
      </c>
    </row>
    <row r="22" spans="1:9">
      <c r="C22" s="34" t="s">
        <v>45</v>
      </c>
      <c r="D22" s="32" t="s">
        <v>29</v>
      </c>
      <c r="E22" s="32" t="s">
        <v>21</v>
      </c>
      <c r="F22" s="50" t="str">
        <f t="shared" si="3"/>
        <v>Hub Process CostsCAPEX</v>
      </c>
      <c r="G22" s="120">
        <f ca="1">G20*Day_Rate*G21</f>
        <v>75000</v>
      </c>
      <c r="H22" s="120">
        <f ca="1">H20*Day_Rate*H21</f>
        <v>100000</v>
      </c>
      <c r="I22" s="120">
        <f ca="1">I20*Day_Rate*I21</f>
        <v>150000</v>
      </c>
    </row>
    <row r="23" spans="1:9">
      <c r="F23" s="50" t="str">
        <f t="shared" si="3"/>
        <v/>
      </c>
      <c r="G23" s="95"/>
      <c r="H23" s="95"/>
      <c r="I23" s="95"/>
    </row>
    <row r="24" spans="1:9">
      <c r="C24" s="34" t="s">
        <v>45</v>
      </c>
      <c r="D24" s="32" t="s">
        <v>58</v>
      </c>
      <c r="E24" s="60" t="s">
        <v>59</v>
      </c>
      <c r="F24" s="50" t="str">
        <f t="shared" si="3"/>
        <v>Hub Process CostsOPEX_INPUT</v>
      </c>
      <c r="G24" s="119">
        <f>'Independent Cost Inputs'!Q59</f>
        <v>0.5</v>
      </c>
      <c r="H24" s="119">
        <f>'Independent Cost Inputs'!R59</f>
        <v>0.5</v>
      </c>
      <c r="I24" s="119">
        <f>'Independent Cost Inputs'!S59</f>
        <v>0.7</v>
      </c>
    </row>
    <row r="25" spans="1:9">
      <c r="C25" s="34" t="s">
        <v>45</v>
      </c>
      <c r="D25" s="32" t="s">
        <v>29</v>
      </c>
      <c r="E25" s="32" t="s">
        <v>22</v>
      </c>
      <c r="F25" s="50" t="str">
        <f t="shared" si="3"/>
        <v>Hub Process CostsOPEX</v>
      </c>
      <c r="G25" s="120">
        <f ca="1">G20*G24*FTE_Cost</f>
        <v>450000</v>
      </c>
      <c r="H25" s="120">
        <f ca="1">H20*H24*FTE_Cost</f>
        <v>600000</v>
      </c>
      <c r="I25" s="120">
        <f ca="1">I20*I24*FTE_Cost</f>
        <v>840000</v>
      </c>
    </row>
    <row r="27" spans="1:9">
      <c r="C27" s="141" t="s">
        <v>44</v>
      </c>
      <c r="D27" s="141"/>
      <c r="E27" s="141" t="s">
        <v>54</v>
      </c>
      <c r="F27" s="142" t="s">
        <v>64</v>
      </c>
      <c r="G27" s="141"/>
      <c r="H27" s="141"/>
      <c r="I27" s="141"/>
    </row>
    <row r="28" spans="1:9">
      <c r="F28" s="89" t="str">
        <f t="shared" ref="F28:F43" si="4">C28&amp;E28</f>
        <v/>
      </c>
      <c r="G28" s="95"/>
      <c r="H28" s="95"/>
      <c r="I28" s="95"/>
    </row>
    <row r="29" spans="1:9">
      <c r="C29" s="32" t="s">
        <v>44</v>
      </c>
      <c r="D29" s="32" t="s">
        <v>56</v>
      </c>
      <c r="E29" s="32" t="s">
        <v>57</v>
      </c>
      <c r="F29" s="89" t="str">
        <f t="shared" si="4"/>
        <v>CCS System CostsCAPEX_INPUT</v>
      </c>
      <c r="G29" s="117">
        <f>'Independent Cost Inputs'!Q60</f>
        <v>0</v>
      </c>
      <c r="H29" s="117">
        <f>'Independent Cost Inputs'!R60</f>
        <v>0</v>
      </c>
      <c r="I29" s="117">
        <f>'Independent Cost Inputs'!S60</f>
        <v>0</v>
      </c>
    </row>
    <row r="30" spans="1:9">
      <c r="C30" s="32" t="s">
        <v>44</v>
      </c>
      <c r="D30" s="32" t="s">
        <v>29</v>
      </c>
      <c r="E30" s="32" t="s">
        <v>57</v>
      </c>
      <c r="F30" s="89" t="str">
        <f t="shared" si="4"/>
        <v>CCS System CostsCAPEX_INPUT</v>
      </c>
      <c r="G30" s="117">
        <f>'Independent Cost Inputs'!Q61</f>
        <v>0</v>
      </c>
      <c r="H30" s="117">
        <f>'Independent Cost Inputs'!R61</f>
        <v>0</v>
      </c>
      <c r="I30" s="117">
        <f>'Independent Cost Inputs'!S61</f>
        <v>0</v>
      </c>
    </row>
    <row r="31" spans="1:9">
      <c r="C31" s="32" t="s">
        <v>44</v>
      </c>
      <c r="D31" s="32" t="s">
        <v>29</v>
      </c>
      <c r="E31" s="32" t="s">
        <v>21</v>
      </c>
      <c r="F31" s="89" t="str">
        <f t="shared" si="4"/>
        <v>CCS System CostsCAPEX</v>
      </c>
      <c r="G31" s="120">
        <f ca="1">(G29*Day_Rate)+G30</f>
        <v>0</v>
      </c>
      <c r="H31" s="120">
        <f ca="1">(H29*Day_Rate)+H30</f>
        <v>0</v>
      </c>
      <c r="I31" s="120">
        <f ca="1">(I29*Day_Rate)+I30</f>
        <v>0</v>
      </c>
    </row>
    <row r="32" spans="1:9">
      <c r="F32" s="89" t="str">
        <f t="shared" si="4"/>
        <v/>
      </c>
      <c r="G32" s="95"/>
      <c r="H32" s="95"/>
      <c r="I32" s="95"/>
    </row>
    <row r="33" spans="1:12">
      <c r="C33" s="32" t="s">
        <v>44</v>
      </c>
      <c r="D33" s="32" t="s">
        <v>58</v>
      </c>
      <c r="E33" s="60" t="s">
        <v>59</v>
      </c>
      <c r="F33" s="89" t="str">
        <f t="shared" si="4"/>
        <v>CCS System CostsOPEX_INPUT</v>
      </c>
      <c r="G33" s="98">
        <f>'Independent Cost Inputs'!Q62</f>
        <v>0</v>
      </c>
      <c r="H33" s="98">
        <f>'Independent Cost Inputs'!R62</f>
        <v>0</v>
      </c>
      <c r="I33" s="98">
        <f>'Independent Cost Inputs'!S62</f>
        <v>0</v>
      </c>
      <c r="J33" s="32"/>
      <c r="K33" s="32"/>
      <c r="L33" s="32"/>
    </row>
    <row r="34" spans="1:12">
      <c r="C34" s="32" t="s">
        <v>44</v>
      </c>
      <c r="D34" s="32" t="s">
        <v>29</v>
      </c>
      <c r="E34" s="32" t="s">
        <v>22</v>
      </c>
      <c r="F34" s="89" t="str">
        <f t="shared" si="4"/>
        <v>CCS System CostsOPEX</v>
      </c>
      <c r="G34" s="120">
        <f ca="1">G33*G31</f>
        <v>0</v>
      </c>
      <c r="H34" s="120">
        <f ca="1">H33*H31</f>
        <v>0</v>
      </c>
      <c r="I34" s="120">
        <f ca="1">I33*I31</f>
        <v>0</v>
      </c>
      <c r="J34" s="32"/>
      <c r="K34" s="32"/>
      <c r="L34" s="32"/>
    </row>
    <row r="35" spans="1:12">
      <c r="F35" s="89" t="str">
        <f t="shared" si="4"/>
        <v/>
      </c>
      <c r="G35" s="95"/>
      <c r="H35" s="95"/>
      <c r="I35" s="95"/>
      <c r="J35" s="32"/>
      <c r="K35" s="32"/>
      <c r="L35" s="32"/>
    </row>
    <row r="36" spans="1:12">
      <c r="C36" s="141" t="s">
        <v>47</v>
      </c>
      <c r="D36" s="141"/>
      <c r="E36" s="141" t="s">
        <v>54</v>
      </c>
      <c r="F36" s="142" t="str">
        <f t="shared" si="4"/>
        <v>CCS Process CostsDESCRIPTION</v>
      </c>
      <c r="G36" s="141"/>
      <c r="H36" s="141"/>
      <c r="I36" s="141"/>
      <c r="J36" s="32"/>
      <c r="K36" s="32"/>
      <c r="L36" s="32"/>
    </row>
    <row r="37" spans="1:12">
      <c r="F37" s="89" t="str">
        <f t="shared" si="4"/>
        <v/>
      </c>
      <c r="G37" s="95"/>
      <c r="H37" s="95"/>
      <c r="I37" s="95"/>
      <c r="J37" s="32"/>
      <c r="K37" s="32"/>
      <c r="L37" s="32"/>
    </row>
    <row r="38" spans="1:12" s="32" customFormat="1">
      <c r="A38" s="30"/>
      <c r="B38" s="39"/>
      <c r="C38" s="32" t="s">
        <v>47</v>
      </c>
      <c r="D38" s="32" t="s">
        <v>61</v>
      </c>
      <c r="E38" s="32" t="s">
        <v>57</v>
      </c>
      <c r="F38" s="89" t="str">
        <f t="shared" si="4"/>
        <v>CCS Process CostsCAPEX_INPUT</v>
      </c>
      <c r="G38" s="117">
        <f>'Independent Cost Inputs'!Q63</f>
        <v>0</v>
      </c>
      <c r="H38" s="117">
        <f>'Independent Cost Inputs'!R63</f>
        <v>0</v>
      </c>
      <c r="I38" s="117">
        <f>'Independent Cost Inputs'!S63</f>
        <v>0</v>
      </c>
    </row>
    <row r="39" spans="1:12" s="32" customFormat="1">
      <c r="A39" s="30"/>
      <c r="B39" s="39"/>
      <c r="C39" s="32" t="s">
        <v>47</v>
      </c>
      <c r="D39" s="32" t="s">
        <v>61</v>
      </c>
      <c r="E39" s="32" t="s">
        <v>57</v>
      </c>
      <c r="F39" s="89" t="str">
        <f t="shared" si="4"/>
        <v>CCS Process CostsCAPEX_INPUT</v>
      </c>
      <c r="G39" s="117">
        <f>'Independent Cost Inputs'!Q64</f>
        <v>0</v>
      </c>
      <c r="H39" s="117">
        <f>'Independent Cost Inputs'!R64</f>
        <v>0</v>
      </c>
      <c r="I39" s="117">
        <f>'Independent Cost Inputs'!S64</f>
        <v>0</v>
      </c>
    </row>
    <row r="40" spans="1:12" s="32" customFormat="1">
      <c r="A40" s="30"/>
      <c r="B40" s="39"/>
      <c r="C40" s="32" t="s">
        <v>47</v>
      </c>
      <c r="D40" s="32" t="s">
        <v>29</v>
      </c>
      <c r="E40" s="32" t="s">
        <v>21</v>
      </c>
      <c r="F40" s="89" t="str">
        <f t="shared" si="4"/>
        <v>CCS Process CostsCAPEX</v>
      </c>
      <c r="G40" s="120">
        <f ca="1">G38*Day_Rate*G39</f>
        <v>0</v>
      </c>
      <c r="H40" s="120">
        <f ca="1">H38*Day_Rate*H39</f>
        <v>0</v>
      </c>
      <c r="I40" s="120">
        <f ca="1">I38*Day_Rate*I39</f>
        <v>0</v>
      </c>
    </row>
    <row r="41" spans="1:12" s="32" customFormat="1">
      <c r="A41" s="30"/>
      <c r="B41" s="39"/>
      <c r="C41" s="32" t="s">
        <v>47</v>
      </c>
      <c r="F41" s="89"/>
      <c r="G41" s="95"/>
      <c r="H41" s="95"/>
      <c r="I41" s="95"/>
    </row>
    <row r="42" spans="1:12" s="32" customFormat="1">
      <c r="A42" s="30"/>
      <c r="B42" s="39"/>
      <c r="C42" s="32" t="s">
        <v>47</v>
      </c>
      <c r="D42" s="32" t="s">
        <v>29</v>
      </c>
      <c r="E42" s="60" t="s">
        <v>59</v>
      </c>
      <c r="F42" s="89" t="str">
        <f t="shared" si="4"/>
        <v>CCS Process CostsOPEX_INPUT</v>
      </c>
      <c r="G42" s="119">
        <f>'Independent Cost Inputs'!Q65</f>
        <v>0</v>
      </c>
      <c r="H42" s="119">
        <f>'Independent Cost Inputs'!R65</f>
        <v>0</v>
      </c>
      <c r="I42" s="119">
        <f>'Independent Cost Inputs'!S65</f>
        <v>0</v>
      </c>
    </row>
    <row r="43" spans="1:12" s="32" customFormat="1">
      <c r="A43" s="30"/>
      <c r="B43" s="39"/>
      <c r="C43" s="32" t="s">
        <v>47</v>
      </c>
      <c r="D43" s="32" t="s">
        <v>29</v>
      </c>
      <c r="E43" s="32" t="s">
        <v>22</v>
      </c>
      <c r="F43" s="89" t="str">
        <f t="shared" si="4"/>
        <v>CCS Process CostsOPEX</v>
      </c>
      <c r="G43" s="123">
        <f ca="1">G42*FTE_Cost*G38</f>
        <v>0</v>
      </c>
      <c r="H43" s="123">
        <f ca="1">H42*FTE_Cost*H38</f>
        <v>0</v>
      </c>
      <c r="I43" s="123">
        <f ca="1">I42*FTE_Cost*I38</f>
        <v>0</v>
      </c>
    </row>
    <row r="44" spans="1:12" s="32" customFormat="1">
      <c r="A44" s="30"/>
      <c r="B44" s="39"/>
      <c r="F44" s="50"/>
    </row>
    <row r="45" spans="1:12" s="32" customFormat="1">
      <c r="A45" s="30"/>
      <c r="B45" s="39"/>
      <c r="F45" s="50"/>
    </row>
    <row r="46" spans="1:12" s="32" customFormat="1">
      <c r="A46" s="30"/>
      <c r="B46" s="39"/>
      <c r="F46" s="50"/>
    </row>
    <row r="47" spans="1:12" s="32" customFormat="1">
      <c r="A47" s="30"/>
      <c r="B47" s="39"/>
      <c r="F47" s="50"/>
    </row>
    <row r="48" spans="1:12" s="32" customFormat="1">
      <c r="A48" s="30"/>
      <c r="B48" s="39"/>
      <c r="F48" s="50"/>
    </row>
    <row r="49" spans="1:6" s="32" customFormat="1">
      <c r="A49" s="30"/>
      <c r="B49" s="39"/>
      <c r="F49" s="50"/>
    </row>
    <row r="50" spans="1:6" s="32" customFormat="1">
      <c r="A50" s="30"/>
      <c r="B50" s="39"/>
      <c r="F50" s="50"/>
    </row>
    <row r="51" spans="1:6" s="32" customFormat="1">
      <c r="A51" s="30"/>
      <c r="B51" s="39"/>
      <c r="F51" s="50"/>
    </row>
    <row r="52" spans="1:6" s="32" customFormat="1">
      <c r="A52" s="30"/>
      <c r="B52" s="39"/>
      <c r="F52" s="50"/>
    </row>
    <row r="53" spans="1:6" s="32" customFormat="1">
      <c r="A53" s="30"/>
      <c r="B53" s="39"/>
      <c r="F53" s="50"/>
    </row>
    <row r="54" spans="1:6" s="32" customFormat="1">
      <c r="A54" s="30"/>
      <c r="B54" s="39"/>
      <c r="F54" s="50"/>
    </row>
    <row r="55" spans="1:6" s="32" customFormat="1">
      <c r="A55" s="30"/>
      <c r="B55" s="39"/>
      <c r="F55" s="50"/>
    </row>
    <row r="56" spans="1:6" s="32" customFormat="1">
      <c r="A56" s="30"/>
      <c r="B56" s="39"/>
      <c r="F56" s="50"/>
    </row>
    <row r="57" spans="1:6" s="32" customFormat="1">
      <c r="A57" s="30"/>
      <c r="B57" s="39"/>
      <c r="F57" s="50"/>
    </row>
    <row r="58" spans="1:6" s="32" customFormat="1">
      <c r="A58" s="30"/>
      <c r="B58" s="39"/>
      <c r="F58" s="50"/>
    </row>
    <row r="59" spans="1:6" s="32" customFormat="1">
      <c r="A59" s="30"/>
      <c r="B59" s="39"/>
      <c r="F59" s="50"/>
    </row>
    <row r="60" spans="1:6" s="32" customFormat="1">
      <c r="A60" s="30"/>
      <c r="B60" s="39"/>
      <c r="F60" s="50"/>
    </row>
    <row r="61" spans="1:6" s="32" customFormat="1">
      <c r="A61" s="30"/>
      <c r="B61" s="39"/>
      <c r="F61" s="50"/>
    </row>
    <row r="62" spans="1:6" s="32" customFormat="1">
      <c r="A62" s="30"/>
      <c r="B62" s="39"/>
      <c r="F62" s="50"/>
    </row>
    <row r="63" spans="1:6" s="32" customFormat="1">
      <c r="A63" s="30"/>
      <c r="B63" s="39"/>
      <c r="F63" s="50"/>
    </row>
    <row r="64" spans="1:6" s="32" customFormat="1">
      <c r="A64" s="30"/>
      <c r="B64" s="39"/>
      <c r="F64" s="50"/>
    </row>
    <row r="65" spans="1:6" s="32" customFormat="1">
      <c r="A65" s="30"/>
      <c r="B65" s="39"/>
      <c r="F65" s="50"/>
    </row>
    <row r="66" spans="1:6" s="32" customFormat="1">
      <c r="A66" s="30"/>
      <c r="B66" s="39"/>
      <c r="F66" s="50"/>
    </row>
    <row r="67" spans="1:6" s="32" customFormat="1">
      <c r="A67" s="30"/>
      <c r="B67" s="39"/>
      <c r="F67" s="50"/>
    </row>
    <row r="68" spans="1:6" s="32" customFormat="1">
      <c r="A68" s="30"/>
      <c r="B68" s="39"/>
      <c r="F68" s="50"/>
    </row>
    <row r="69" spans="1:6" s="32" customFormat="1">
      <c r="A69" s="30"/>
      <c r="B69" s="39"/>
      <c r="F69" s="50"/>
    </row>
    <row r="70" spans="1:6" s="32" customFormat="1">
      <c r="A70" s="30"/>
      <c r="B70" s="39"/>
      <c r="F70" s="50"/>
    </row>
    <row r="71" spans="1:6" s="32" customFormat="1">
      <c r="A71" s="30"/>
      <c r="B71" s="39"/>
      <c r="F71" s="50"/>
    </row>
    <row r="72" spans="1:6" s="32" customFormat="1">
      <c r="A72" s="30"/>
      <c r="B72" s="39"/>
      <c r="F72" s="50"/>
    </row>
    <row r="73" spans="1:6" s="32" customFormat="1">
      <c r="A73" s="30"/>
      <c r="B73" s="39"/>
      <c r="F73" s="50"/>
    </row>
    <row r="74" spans="1:6" s="32" customFormat="1">
      <c r="A74" s="30"/>
      <c r="B74" s="39"/>
      <c r="F74" s="50"/>
    </row>
    <row r="75" spans="1:6" s="32" customFormat="1">
      <c r="A75" s="30"/>
      <c r="B75" s="39"/>
      <c r="F75" s="50"/>
    </row>
    <row r="76" spans="1:6" s="32" customFormat="1">
      <c r="A76" s="30"/>
      <c r="B76" s="39"/>
      <c r="F76" s="50"/>
    </row>
    <row r="77" spans="1:6" s="32" customFormat="1">
      <c r="A77" s="30"/>
      <c r="B77" s="39"/>
      <c r="F77" s="50"/>
    </row>
    <row r="78" spans="1:6" s="32" customFormat="1">
      <c r="A78" s="30"/>
      <c r="B78" s="39"/>
      <c r="F78" s="50"/>
    </row>
    <row r="79" spans="1:6" s="32" customFormat="1">
      <c r="A79" s="30"/>
      <c r="B79" s="39"/>
      <c r="F79" s="50"/>
    </row>
    <row r="80" spans="1:6" s="32" customFormat="1">
      <c r="A80" s="30"/>
      <c r="B80" s="39"/>
      <c r="F80" s="50"/>
    </row>
    <row r="81" spans="1:6" s="32" customFormat="1">
      <c r="A81" s="30"/>
      <c r="B81" s="39"/>
      <c r="F81" s="50"/>
    </row>
    <row r="82" spans="1:6" s="32" customFormat="1">
      <c r="A82" s="30"/>
      <c r="B82" s="39"/>
      <c r="F82" s="50"/>
    </row>
    <row r="83" spans="1:6" s="32" customFormat="1">
      <c r="A83" s="30"/>
      <c r="B83" s="39"/>
      <c r="F83" s="50"/>
    </row>
    <row r="84" spans="1:6" s="32" customFormat="1">
      <c r="A84" s="30"/>
      <c r="B84" s="39"/>
      <c r="F84" s="50"/>
    </row>
    <row r="85" spans="1:6" s="32" customFormat="1">
      <c r="A85" s="30"/>
      <c r="B85" s="39"/>
      <c r="F85" s="50"/>
    </row>
    <row r="86" spans="1:6" s="32" customFormat="1">
      <c r="A86" s="30"/>
      <c r="B86" s="39"/>
      <c r="F86" s="50"/>
    </row>
    <row r="87" spans="1:6" s="32" customFormat="1">
      <c r="A87" s="30"/>
      <c r="B87" s="39"/>
      <c r="F87" s="50"/>
    </row>
    <row r="88" spans="1:6" s="32" customFormat="1">
      <c r="A88" s="30"/>
      <c r="B88" s="39"/>
      <c r="F88" s="50"/>
    </row>
    <row r="89" spans="1:6" s="32" customFormat="1">
      <c r="A89" s="30"/>
      <c r="B89" s="39"/>
      <c r="F89" s="50"/>
    </row>
    <row r="90" spans="1:6" s="32" customFormat="1">
      <c r="A90" s="30"/>
      <c r="B90" s="39"/>
      <c r="F90" s="50"/>
    </row>
    <row r="91" spans="1:6" s="32" customFormat="1">
      <c r="A91" s="30"/>
      <c r="B91" s="39"/>
      <c r="F91" s="50"/>
    </row>
    <row r="92" spans="1:6" s="32" customFormat="1">
      <c r="A92" s="30"/>
      <c r="B92" s="39"/>
      <c r="F92" s="50"/>
    </row>
    <row r="93" spans="1:6" s="32" customFormat="1">
      <c r="A93" s="30"/>
      <c r="B93" s="39"/>
      <c r="F93" s="50"/>
    </row>
    <row r="94" spans="1:6" s="32" customFormat="1">
      <c r="A94" s="30"/>
      <c r="B94" s="39"/>
      <c r="F94" s="50"/>
    </row>
    <row r="95" spans="1:6" s="32" customFormat="1">
      <c r="A95" s="30"/>
      <c r="B95" s="39"/>
      <c r="F95" s="50"/>
    </row>
    <row r="96" spans="1:6" s="32" customFormat="1">
      <c r="A96" s="30"/>
      <c r="B96" s="39"/>
      <c r="F96" s="50"/>
    </row>
    <row r="97" spans="1:12" s="32" customFormat="1">
      <c r="A97" s="30"/>
      <c r="B97" s="39"/>
      <c r="F97" s="50"/>
    </row>
    <row r="98" spans="1:12" s="32" customFormat="1">
      <c r="A98" s="30"/>
      <c r="B98" s="39"/>
      <c r="F98" s="50"/>
    </row>
    <row r="99" spans="1:12" s="32" customFormat="1">
      <c r="A99" s="30"/>
      <c r="B99" s="39"/>
      <c r="F99" s="50"/>
    </row>
    <row r="100" spans="1:12" s="32" customFormat="1">
      <c r="A100" s="30"/>
      <c r="B100" s="39"/>
      <c r="F100" s="50"/>
    </row>
    <row r="101" spans="1:12" s="32" customFormat="1">
      <c r="A101" s="30"/>
      <c r="B101" s="39"/>
      <c r="F101" s="50"/>
    </row>
    <row r="102" spans="1:12" s="32" customFormat="1">
      <c r="A102" s="30"/>
      <c r="B102" s="39"/>
      <c r="F102" s="50"/>
    </row>
    <row r="103" spans="1:12" s="32" customFormat="1">
      <c r="A103" s="30"/>
      <c r="B103" s="39"/>
      <c r="F103" s="50"/>
    </row>
    <row r="104" spans="1:12" s="32" customFormat="1">
      <c r="A104" s="30"/>
      <c r="B104" s="39"/>
      <c r="F104" s="50"/>
    </row>
    <row r="105" spans="1:12" s="32" customFormat="1">
      <c r="A105" s="30"/>
      <c r="B105" s="39"/>
      <c r="F105" s="50"/>
    </row>
    <row r="106" spans="1:12" s="32" customFormat="1">
      <c r="A106" s="30"/>
      <c r="B106" s="39"/>
      <c r="F106" s="50"/>
    </row>
    <row r="107" spans="1:12" s="32" customFormat="1">
      <c r="A107" s="30"/>
      <c r="B107" s="39"/>
      <c r="F107" s="50"/>
    </row>
    <row r="108" spans="1:12" s="32" customFormat="1">
      <c r="A108" s="30"/>
      <c r="B108" s="39"/>
      <c r="F108" s="50"/>
    </row>
    <row r="109" spans="1:12" s="32" customFormat="1">
      <c r="A109" s="30"/>
      <c r="B109" s="39"/>
      <c r="F109" s="50"/>
      <c r="J109" s="30"/>
      <c r="K109" s="30"/>
      <c r="L109" s="30"/>
    </row>
    <row r="110" spans="1:12" s="32" customFormat="1">
      <c r="A110" s="30"/>
      <c r="B110" s="39"/>
      <c r="F110" s="50"/>
      <c r="J110" s="30"/>
      <c r="K110" s="30"/>
      <c r="L110" s="30"/>
    </row>
    <row r="111" spans="1:12" s="32" customFormat="1">
      <c r="A111" s="30"/>
      <c r="B111" s="39"/>
      <c r="F111" s="50"/>
      <c r="J111" s="30"/>
      <c r="K111" s="30"/>
      <c r="L111" s="30"/>
    </row>
    <row r="112" spans="1:12" s="32" customFormat="1">
      <c r="A112" s="30"/>
      <c r="B112" s="39"/>
      <c r="F112" s="50"/>
      <c r="J112" s="30"/>
      <c r="K112" s="30"/>
      <c r="L112" s="30"/>
    </row>
    <row r="113" spans="1:12" s="32" customFormat="1">
      <c r="A113" s="30"/>
      <c r="B113" s="39"/>
      <c r="F113" s="50"/>
      <c r="J113" s="30"/>
      <c r="K113" s="30"/>
      <c r="L113" s="30"/>
    </row>
    <row r="114" spans="1:12" s="32" customFormat="1">
      <c r="A114" s="30"/>
      <c r="B114" s="39"/>
      <c r="F114" s="50"/>
      <c r="J114" s="30"/>
      <c r="K114" s="30"/>
      <c r="L114" s="30"/>
    </row>
    <row r="115" spans="1:12" s="32" customFormat="1">
      <c r="A115" s="30"/>
      <c r="B115" s="39"/>
      <c r="F115" s="50"/>
      <c r="J115" s="30"/>
      <c r="K115" s="30"/>
      <c r="L115" s="30"/>
    </row>
    <row r="116" spans="1:12" s="32" customFormat="1">
      <c r="A116" s="30"/>
      <c r="B116" s="39"/>
      <c r="F116" s="50"/>
      <c r="J116" s="30"/>
      <c r="K116" s="30"/>
      <c r="L116" s="30"/>
    </row>
    <row r="117" spans="1:12" s="32" customFormat="1">
      <c r="A117" s="30"/>
      <c r="B117" s="39"/>
      <c r="F117" s="50"/>
      <c r="J117" s="30"/>
      <c r="K117" s="30"/>
      <c r="L117" s="30"/>
    </row>
    <row r="118" spans="1:12" s="32" customFormat="1">
      <c r="A118" s="30"/>
      <c r="B118" s="39"/>
      <c r="F118" s="50"/>
      <c r="J118" s="30"/>
      <c r="K118" s="30"/>
      <c r="L118" s="30"/>
    </row>
    <row r="119" spans="1:12" s="32" customFormat="1">
      <c r="A119" s="30"/>
      <c r="B119" s="39"/>
      <c r="F119" s="50"/>
      <c r="J119" s="30"/>
      <c r="K119" s="30"/>
      <c r="L119" s="30"/>
    </row>
    <row r="120" spans="1:12" s="32" customFormat="1">
      <c r="A120" s="30"/>
      <c r="B120" s="39"/>
      <c r="F120" s="50"/>
      <c r="J120" s="30"/>
      <c r="K120" s="30"/>
      <c r="L120" s="30"/>
    </row>
    <row r="121" spans="1:12" s="32" customFormat="1">
      <c r="A121" s="30"/>
      <c r="B121" s="39"/>
      <c r="F121" s="50"/>
      <c r="J121" s="30"/>
      <c r="K121" s="30"/>
      <c r="L121" s="30"/>
    </row>
    <row r="122" spans="1:12" s="32" customFormat="1">
      <c r="A122" s="30"/>
      <c r="B122" s="39"/>
      <c r="F122" s="50"/>
      <c r="J122" s="30"/>
      <c r="K122" s="30"/>
      <c r="L122" s="30"/>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codeName="Sheet39">
    <tabColor theme="3"/>
  </sheetPr>
  <dimension ref="A2:R23"/>
  <sheetViews>
    <sheetView showGridLines="0" zoomScale="85" zoomScaleNormal="85" workbookViewId="0">
      <selection activeCell="D39" sqref="D39"/>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27.xml><?xml version="1.0" encoding="utf-8"?>
<worksheet xmlns="http://schemas.openxmlformats.org/spreadsheetml/2006/main" xmlns:r="http://schemas.openxmlformats.org/officeDocument/2006/relationships">
  <sheetPr codeName="Sheet40"/>
  <dimension ref="A2:M46"/>
  <sheetViews>
    <sheetView showGridLines="0" zoomScale="70" zoomScaleNormal="70" workbookViewId="0">
      <selection activeCell="J26" sqref="J26"/>
    </sheetView>
  </sheetViews>
  <sheetFormatPr defaultColWidth="9.140625" defaultRowHeight="12.75"/>
  <cols>
    <col min="1" max="1" width="3.5703125" style="30" customWidth="1"/>
    <col min="2" max="2" width="18.85546875" style="30" customWidth="1"/>
    <col min="3" max="3" width="34" style="32" customWidth="1"/>
    <col min="4" max="4" width="10" style="32" customWidth="1"/>
    <col min="5" max="5" width="15.42578125" style="32" customWidth="1"/>
    <col min="6" max="6" width="19.5703125" style="89" hidden="1" customWidth="1"/>
    <col min="7" max="9" width="16" style="34" customWidth="1"/>
    <col min="10" max="16384" width="9.140625" style="30"/>
  </cols>
  <sheetData>
    <row r="2" spans="2:10">
      <c r="B2" s="30" t="s">
        <v>0</v>
      </c>
      <c r="C2" s="49" t="str">
        <f ca="1">MID(CELL("filename",A1),FIND("]",CELL("filename",A1))+1,256)</f>
        <v>TPV2 - Process Workings</v>
      </c>
    </row>
    <row r="3" spans="2:10">
      <c r="B3" s="30" t="s">
        <v>1</v>
      </c>
      <c r="C3" s="89" t="s">
        <v>99</v>
      </c>
    </row>
    <row r="5" spans="2:10" s="51" customFormat="1">
      <c r="B5" s="51" t="s">
        <v>18</v>
      </c>
      <c r="C5" s="52" t="s">
        <v>19</v>
      </c>
      <c r="D5" s="52" t="s">
        <v>20</v>
      </c>
      <c r="E5" s="52" t="s">
        <v>52</v>
      </c>
      <c r="F5" s="90" t="s">
        <v>53</v>
      </c>
      <c r="G5" s="124" t="s">
        <v>228</v>
      </c>
      <c r="H5" s="124" t="s">
        <v>229</v>
      </c>
      <c r="I5" s="124" t="s">
        <v>230</v>
      </c>
    </row>
    <row r="7" spans="2:10">
      <c r="B7" s="31" t="s">
        <v>4</v>
      </c>
      <c r="C7" s="32" t="s">
        <v>21</v>
      </c>
      <c r="G7" s="125">
        <f ca="1">SUMIF($E$11:$E$201,"CAPEX",G11:G201)</f>
        <v>7500</v>
      </c>
      <c r="H7" s="125">
        <f ca="1">SUMIF($E$11:$E$201,"CAPEX",H11:H201)</f>
        <v>167500</v>
      </c>
      <c r="I7" s="125">
        <f ca="1">SUMIF($E$11:$E$201,"CAPEX",I11:I201)</f>
        <v>542500</v>
      </c>
    </row>
    <row r="8" spans="2:10">
      <c r="C8" s="32" t="s">
        <v>22</v>
      </c>
      <c r="G8" s="125">
        <f ca="1">SUMIF($E$11:$E$201,"OPEX",G11:G201)</f>
        <v>3907.0515559839191</v>
      </c>
      <c r="H8" s="125">
        <f ca="1">SUMIF($E$11:$E$201,"OPEX",H11:H201)</f>
        <v>81641.031119678373</v>
      </c>
      <c r="I8" s="125">
        <f ca="1">SUMIF($E$11:$E$201,"OPEX",I11:I201)</f>
        <v>997649.55188577285</v>
      </c>
    </row>
    <row r="9" spans="2:10">
      <c r="B9" s="34"/>
      <c r="C9" s="141" t="s">
        <v>71</v>
      </c>
      <c r="D9" s="141"/>
      <c r="E9" s="141"/>
      <c r="F9" s="142"/>
      <c r="G9" s="141"/>
      <c r="H9" s="141"/>
      <c r="I9" s="141"/>
    </row>
    <row r="10" spans="2:10" s="39" customFormat="1">
      <c r="B10" s="34"/>
      <c r="C10" s="34"/>
      <c r="D10" s="34"/>
      <c r="E10" s="34"/>
      <c r="F10" s="55"/>
      <c r="G10" s="95"/>
      <c r="H10" s="95"/>
      <c r="I10" s="95"/>
    </row>
    <row r="11" spans="2:10">
      <c r="B11" s="34"/>
      <c r="C11" s="32" t="s">
        <v>71</v>
      </c>
      <c r="D11" s="32" t="s">
        <v>61</v>
      </c>
      <c r="E11" s="32" t="s">
        <v>57</v>
      </c>
      <c r="F11" s="89" t="str">
        <f>C11&amp;E11</f>
        <v>CRM and Knowledge ManagementCAPEX_INPUT</v>
      </c>
      <c r="G11" s="96">
        <f>'Independent Cost Inputs'!Z8</f>
        <v>5</v>
      </c>
      <c r="H11" s="96">
        <f>'Independent Cost Inputs'!AA8</f>
        <v>100</v>
      </c>
      <c r="I11" s="96">
        <f>'Independent Cost Inputs'!AB8</f>
        <v>350</v>
      </c>
    </row>
    <row r="12" spans="2:10">
      <c r="B12" s="34"/>
      <c r="C12" s="32" t="s">
        <v>71</v>
      </c>
      <c r="D12" s="32" t="s">
        <v>56</v>
      </c>
      <c r="E12" s="32" t="s">
        <v>57</v>
      </c>
      <c r="F12" s="89" t="str">
        <f t="shared" ref="F12:F14" si="0">C12&amp;E12</f>
        <v>CRM and Knowledge ManagementCAPEX_INPUT</v>
      </c>
      <c r="G12" s="96">
        <f>'Independent Cost Inputs'!Z9</f>
        <v>1</v>
      </c>
      <c r="H12" s="96">
        <f>'Independent Cost Inputs'!AA9</f>
        <v>1</v>
      </c>
      <c r="I12" s="96">
        <f>'Independent Cost Inputs'!AB9</f>
        <v>1</v>
      </c>
    </row>
    <row r="13" spans="2:10">
      <c r="B13" s="34"/>
      <c r="C13" s="32" t="s">
        <v>71</v>
      </c>
      <c r="D13" s="32" t="s">
        <v>56</v>
      </c>
      <c r="E13" s="32" t="s">
        <v>57</v>
      </c>
      <c r="F13" s="89" t="str">
        <f t="shared" si="0"/>
        <v>CRM and Knowledge ManagementCAPEX_INPUT</v>
      </c>
      <c r="G13" s="96">
        <f>'Independent Cost Inputs'!Z10</f>
        <v>0</v>
      </c>
      <c r="H13" s="96">
        <f>'Independent Cost Inputs'!AA10</f>
        <v>15</v>
      </c>
      <c r="I13" s="96">
        <f>'Independent Cost Inputs'!AB10</f>
        <v>15</v>
      </c>
    </row>
    <row r="14" spans="2:10">
      <c r="B14" s="34"/>
      <c r="C14" s="32" t="s">
        <v>71</v>
      </c>
      <c r="D14" s="32" t="s">
        <v>29</v>
      </c>
      <c r="E14" s="32" t="s">
        <v>57</v>
      </c>
      <c r="F14" s="89" t="str">
        <f t="shared" si="0"/>
        <v>CRM and Knowledge ManagementCAPEX_INPUT</v>
      </c>
      <c r="G14" s="96">
        <f ca="1">'Independent Cost Inputs'!$G$73</f>
        <v>500</v>
      </c>
      <c r="H14" s="96">
        <f ca="1">'Independent Cost Inputs'!$G$73</f>
        <v>500</v>
      </c>
      <c r="I14" s="96">
        <f ca="1">'Independent Cost Inputs'!$G$73</f>
        <v>500</v>
      </c>
    </row>
    <row r="15" spans="2:10">
      <c r="B15" s="34"/>
      <c r="C15" s="32" t="s">
        <v>71</v>
      </c>
      <c r="D15" s="32" t="s">
        <v>29</v>
      </c>
      <c r="E15" s="32" t="s">
        <v>21</v>
      </c>
      <c r="F15" s="89" t="str">
        <f t="shared" ref="F15:F22" si="1">C15&amp;E15</f>
        <v>CRM and Knowledge ManagementCAPEX</v>
      </c>
      <c r="G15" s="120">
        <f ca="1">(G11*G14*G12)+(G13*Day_Rate)</f>
        <v>2500</v>
      </c>
      <c r="H15" s="120">
        <f ca="1">(H11*H14*H12)+(H13*Day_Rate)</f>
        <v>57500</v>
      </c>
      <c r="I15" s="120">
        <f ca="1">(I11*I14*I12)+(I13*Day_Rate)</f>
        <v>182500</v>
      </c>
      <c r="J15" s="61"/>
    </row>
    <row r="16" spans="2:10">
      <c r="B16" s="34"/>
      <c r="F16" s="89" t="str">
        <f t="shared" si="1"/>
        <v/>
      </c>
      <c r="G16" s="97"/>
      <c r="H16" s="97"/>
      <c r="I16" s="97"/>
      <c r="J16" s="31"/>
    </row>
    <row r="17" spans="1:10">
      <c r="B17" s="34"/>
      <c r="C17" s="32" t="s">
        <v>71</v>
      </c>
      <c r="D17" s="32" t="s">
        <v>58</v>
      </c>
      <c r="E17" s="32" t="s">
        <v>59</v>
      </c>
      <c r="F17" s="89" t="str">
        <f t="shared" si="1"/>
        <v>CRM and Knowledge ManagementOPEX_INPUT</v>
      </c>
      <c r="G17" s="98">
        <f ca="1">'Independent Cost Inputs'!Z11</f>
        <v>0.2</v>
      </c>
      <c r="H17" s="98">
        <f ca="1">'Independent Cost Inputs'!AA11</f>
        <v>0.2</v>
      </c>
      <c r="I17" s="98">
        <f ca="1">'Independent Cost Inputs'!AB11</f>
        <v>0.2</v>
      </c>
      <c r="J17" s="31"/>
    </row>
    <row r="18" spans="1:10">
      <c r="B18" s="34"/>
      <c r="C18" s="32" t="s">
        <v>71</v>
      </c>
      <c r="D18" s="32" t="s">
        <v>29</v>
      </c>
      <c r="E18" s="32" t="s">
        <v>22</v>
      </c>
      <c r="F18" s="89" t="str">
        <f t="shared" si="1"/>
        <v>CRM and Knowledge ManagementOPEX</v>
      </c>
      <c r="G18" s="121">
        <f ca="1">G17*G15</f>
        <v>500</v>
      </c>
      <c r="H18" s="121">
        <f t="shared" ref="H18:I18" ca="1" si="2">H17*H15</f>
        <v>11500</v>
      </c>
      <c r="I18" s="121">
        <f t="shared" ca="1" si="2"/>
        <v>36500</v>
      </c>
      <c r="J18" s="61"/>
    </row>
    <row r="19" spans="1:10">
      <c r="A19" s="42"/>
      <c r="B19" s="34"/>
      <c r="F19" s="89" t="str">
        <f t="shared" si="1"/>
        <v/>
      </c>
      <c r="G19" s="95"/>
      <c r="H19" s="95"/>
      <c r="I19" s="95"/>
    </row>
    <row r="20" spans="1:10">
      <c r="B20" s="34"/>
      <c r="G20" s="95"/>
      <c r="H20" s="95"/>
      <c r="I20" s="95"/>
    </row>
    <row r="21" spans="1:10" ht="25.5">
      <c r="B21" s="34"/>
      <c r="C21" s="141" t="s">
        <v>38</v>
      </c>
      <c r="D21" s="141"/>
      <c r="E21" s="141"/>
      <c r="F21" s="142" t="str">
        <f t="shared" si="1"/>
        <v>Customer Interface Management Changes</v>
      </c>
      <c r="G21" s="143"/>
      <c r="H21" s="143"/>
      <c r="I21" s="143"/>
    </row>
    <row r="22" spans="1:10">
      <c r="B22" s="34"/>
      <c r="F22" s="89" t="str">
        <f t="shared" si="1"/>
        <v/>
      </c>
      <c r="G22" s="95"/>
      <c r="H22" s="95"/>
      <c r="I22" s="95"/>
    </row>
    <row r="23" spans="1:10" ht="25.5">
      <c r="B23" s="34"/>
      <c r="C23" s="32" t="s">
        <v>38</v>
      </c>
      <c r="D23" s="32" t="s">
        <v>61</v>
      </c>
      <c r="E23" s="32" t="s">
        <v>57</v>
      </c>
      <c r="F23" s="89" t="str">
        <f>C23&amp;E23</f>
        <v>Customer Interface Management ChangesCAPEX_INPUT</v>
      </c>
      <c r="G23" s="96">
        <f>'Independent Cost Inputs'!Z12</f>
        <v>5</v>
      </c>
      <c r="H23" s="96">
        <f>'Independent Cost Inputs'!AA12</f>
        <v>100</v>
      </c>
      <c r="I23" s="96">
        <f>'Independent Cost Inputs'!AB12</f>
        <v>350</v>
      </c>
    </row>
    <row r="24" spans="1:10" ht="25.5">
      <c r="B24" s="34"/>
      <c r="C24" s="32" t="s">
        <v>38</v>
      </c>
      <c r="D24" s="32" t="s">
        <v>56</v>
      </c>
      <c r="E24" s="32" t="s">
        <v>57</v>
      </c>
      <c r="F24" s="89" t="str">
        <f t="shared" ref="F24:F26" si="3">C24&amp;E24</f>
        <v>Customer Interface Management ChangesCAPEX_INPUT</v>
      </c>
      <c r="G24" s="96">
        <f>'Independent Cost Inputs'!Z13</f>
        <v>2</v>
      </c>
      <c r="H24" s="96">
        <f>'Independent Cost Inputs'!AA13</f>
        <v>2</v>
      </c>
      <c r="I24" s="96">
        <f>'Independent Cost Inputs'!AB13</f>
        <v>2</v>
      </c>
      <c r="J24" s="31"/>
    </row>
    <row r="25" spans="1:10" ht="25.5">
      <c r="B25" s="34"/>
      <c r="C25" s="32" t="s">
        <v>38</v>
      </c>
      <c r="D25" s="32" t="s">
        <v>56</v>
      </c>
      <c r="E25" s="32" t="s">
        <v>57</v>
      </c>
      <c r="F25" s="89" t="str">
        <f t="shared" si="3"/>
        <v>Customer Interface Management ChangesCAPEX_INPUT</v>
      </c>
      <c r="G25" s="96">
        <f>'Independent Cost Inputs'!Z14</f>
        <v>0</v>
      </c>
      <c r="H25" s="96">
        <f>'Independent Cost Inputs'!AA14</f>
        <v>20</v>
      </c>
      <c r="I25" s="96">
        <f>'Independent Cost Inputs'!AB14</f>
        <v>20</v>
      </c>
      <c r="J25" s="61"/>
    </row>
    <row r="26" spans="1:10" ht="25.5">
      <c r="B26" s="34"/>
      <c r="C26" s="32" t="s">
        <v>38</v>
      </c>
      <c r="D26" s="32" t="s">
        <v>29</v>
      </c>
      <c r="E26" s="32" t="s">
        <v>57</v>
      </c>
      <c r="F26" s="89" t="str">
        <f t="shared" si="3"/>
        <v>Customer Interface Management ChangesCAPEX_INPUT</v>
      </c>
      <c r="G26" s="96">
        <f ca="1">'Independent Cost Inputs'!$G$73</f>
        <v>500</v>
      </c>
      <c r="H26" s="96">
        <f ca="1">'Independent Cost Inputs'!$G$73</f>
        <v>500</v>
      </c>
      <c r="I26" s="96">
        <f ca="1">'Independent Cost Inputs'!$G$73</f>
        <v>500</v>
      </c>
      <c r="J26" s="61"/>
    </row>
    <row r="27" spans="1:10" ht="25.5">
      <c r="B27" s="34"/>
      <c r="C27" s="32" t="s">
        <v>38</v>
      </c>
      <c r="D27" s="32" t="s">
        <v>29</v>
      </c>
      <c r="E27" s="32" t="s">
        <v>21</v>
      </c>
      <c r="F27" s="89" t="str">
        <f t="shared" ref="F27:F30" si="4">C27&amp;E27</f>
        <v>Customer Interface Management ChangesCAPEX</v>
      </c>
      <c r="G27" s="120">
        <f ca="1">(G23*G26*G24)+(G25*Day_Rate)</f>
        <v>5000</v>
      </c>
      <c r="H27" s="120">
        <f ca="1">(H23*H26*H24)+(H25*Day_Rate)</f>
        <v>110000</v>
      </c>
      <c r="I27" s="120">
        <f ca="1">(I23*I26*I24)+(I25*Day_Rate)</f>
        <v>360000</v>
      </c>
    </row>
    <row r="28" spans="1:10">
      <c r="B28" s="34"/>
      <c r="F28" s="89" t="str">
        <f t="shared" si="4"/>
        <v/>
      </c>
      <c r="G28" s="97"/>
      <c r="H28" s="97"/>
      <c r="I28" s="97"/>
    </row>
    <row r="29" spans="1:10" ht="25.5">
      <c r="B29" s="34"/>
      <c r="C29" s="32" t="s">
        <v>38</v>
      </c>
      <c r="D29" s="32" t="s">
        <v>58</v>
      </c>
      <c r="E29" s="32" t="s">
        <v>59</v>
      </c>
      <c r="F29" s="89" t="str">
        <f t="shared" si="4"/>
        <v>Customer Interface Management ChangesOPEX_INPUT</v>
      </c>
      <c r="G29" s="98">
        <f ca="1">'Independent Cost Inputs'!Z15</f>
        <v>0.2</v>
      </c>
      <c r="H29" s="98">
        <f ca="1">'Independent Cost Inputs'!AA15</f>
        <v>0.2</v>
      </c>
      <c r="I29" s="98">
        <f ca="1">'Independent Cost Inputs'!AB15</f>
        <v>0.2</v>
      </c>
    </row>
    <row r="30" spans="1:10" ht="25.5">
      <c r="B30" s="34"/>
      <c r="C30" s="32" t="s">
        <v>38</v>
      </c>
      <c r="D30" s="32" t="s">
        <v>29</v>
      </c>
      <c r="E30" s="32" t="s">
        <v>22</v>
      </c>
      <c r="F30" s="89" t="str">
        <f t="shared" si="4"/>
        <v>Customer Interface Management ChangesOPEX</v>
      </c>
      <c r="G30" s="121">
        <f ca="1">G29*G27</f>
        <v>1000</v>
      </c>
      <c r="H30" s="121">
        <f t="shared" ref="H30:I30" ca="1" si="5">H29*H27</f>
        <v>22000</v>
      </c>
      <c r="I30" s="121">
        <f t="shared" ca="1" si="5"/>
        <v>72000</v>
      </c>
    </row>
    <row r="31" spans="1:10">
      <c r="B31" s="34"/>
      <c r="G31" s="99"/>
      <c r="H31" s="99"/>
      <c r="I31" s="99"/>
    </row>
    <row r="32" spans="1:10">
      <c r="B32" s="34"/>
      <c r="C32" s="141" t="s">
        <v>39</v>
      </c>
      <c r="D32" s="141"/>
      <c r="E32" s="141"/>
      <c r="F32" s="142" t="str">
        <f t="shared" ref="F32:F37" si="6">C32&amp;E32</f>
        <v>Order Handling Changes</v>
      </c>
      <c r="G32" s="143"/>
      <c r="H32" s="143"/>
      <c r="I32" s="143"/>
    </row>
    <row r="33" spans="2:13">
      <c r="B33" s="34"/>
      <c r="F33" s="89" t="str">
        <f t="shared" si="6"/>
        <v/>
      </c>
      <c r="G33" s="95"/>
      <c r="H33" s="95"/>
      <c r="I33" s="95"/>
    </row>
    <row r="34" spans="2:13">
      <c r="B34" s="34"/>
      <c r="C34" s="34" t="s">
        <v>39</v>
      </c>
      <c r="D34" s="32" t="s">
        <v>76</v>
      </c>
      <c r="E34" s="32" t="s">
        <v>59</v>
      </c>
      <c r="F34" s="89" t="str">
        <f t="shared" si="6"/>
        <v>Order Handling ChangesOPEX_INPUT</v>
      </c>
      <c r="G34" s="96">
        <f>'Independent Cost Inputs'!Z18</f>
        <v>14.25</v>
      </c>
      <c r="H34" s="96">
        <f>'Independent Cost Inputs'!AA18</f>
        <v>14.25</v>
      </c>
      <c r="I34" s="96">
        <f>'Independent Cost Inputs'!AB18</f>
        <v>14.25</v>
      </c>
    </row>
    <row r="35" spans="2:13">
      <c r="B35" s="34"/>
      <c r="C35" s="34" t="s">
        <v>452</v>
      </c>
      <c r="D35" s="32" t="s">
        <v>76</v>
      </c>
      <c r="E35" s="32" t="s">
        <v>59</v>
      </c>
      <c r="F35" s="89" t="str">
        <f t="shared" si="6"/>
        <v>Order Handling Changes DeltaOPEX_INPUT</v>
      </c>
      <c r="G35" s="126">
        <f>G34-Call_Time_Blend</f>
        <v>-0.23109958494687177</v>
      </c>
      <c r="H35" s="126">
        <f>H34-Call_Time_Blend</f>
        <v>-0.23109958494687177</v>
      </c>
      <c r="I35" s="126">
        <f>I34-Call_Time_Blend</f>
        <v>-0.23109958494687177</v>
      </c>
    </row>
    <row r="36" spans="2:13">
      <c r="B36" s="34"/>
      <c r="C36" s="34" t="s">
        <v>39</v>
      </c>
      <c r="D36" s="32" t="s">
        <v>29</v>
      </c>
      <c r="E36" s="32" t="s">
        <v>59</v>
      </c>
      <c r="F36" s="89" t="str">
        <f t="shared" si="6"/>
        <v>Order Handling ChangesOPEX_INPUT</v>
      </c>
      <c r="G36" s="327">
        <f ca="1">'Independent Cost Inputs'!$G$78</f>
        <v>0.36</v>
      </c>
      <c r="H36" s="327">
        <f ca="1">'Independent Cost Inputs'!$G$78</f>
        <v>0.36</v>
      </c>
      <c r="I36" s="327">
        <f ca="1">'Independent Cost Inputs'!$G$78</f>
        <v>0.36</v>
      </c>
    </row>
    <row r="37" spans="2:13">
      <c r="B37" s="34"/>
      <c r="C37" s="34" t="s">
        <v>39</v>
      </c>
      <c r="D37" s="32" t="s">
        <v>29</v>
      </c>
      <c r="E37" s="32" t="s">
        <v>22</v>
      </c>
      <c r="F37" s="89" t="str">
        <f t="shared" si="6"/>
        <v>Order Handling ChangesOPEX</v>
      </c>
      <c r="G37" s="120">
        <f ca="1">G35*G36*Switches_Low</f>
        <v>-89.508836704578329</v>
      </c>
      <c r="H37" s="120">
        <f ca="1">H35*H36*Switches_Medium</f>
        <v>-1790.1767340915662</v>
      </c>
      <c r="I37" s="120">
        <f ca="1">I35*I36*Switches_High*(1-OnlineSalesPc)</f>
        <v>-26255.925433342974</v>
      </c>
    </row>
    <row r="38" spans="2:13">
      <c r="B38" s="39"/>
      <c r="C38" s="34"/>
      <c r="G38" s="99"/>
      <c r="H38" s="99"/>
      <c r="I38" s="99"/>
    </row>
    <row r="39" spans="2:13">
      <c r="B39" s="39"/>
      <c r="F39" s="89" t="str">
        <f>C39&amp;E39</f>
        <v/>
      </c>
      <c r="G39" s="95"/>
      <c r="H39" s="95"/>
      <c r="I39" s="95"/>
    </row>
    <row r="40" spans="2:13">
      <c r="B40" s="39"/>
      <c r="C40" s="141" t="s">
        <v>618</v>
      </c>
      <c r="D40" s="141"/>
      <c r="E40" s="141" t="s">
        <v>54</v>
      </c>
      <c r="F40" s="142" t="s">
        <v>64</v>
      </c>
      <c r="G40" s="143"/>
      <c r="H40" s="143"/>
      <c r="I40" s="143"/>
    </row>
    <row r="41" spans="2:13">
      <c r="B41" s="39"/>
      <c r="F41" s="89" t="str">
        <f>C41&amp;E41</f>
        <v/>
      </c>
      <c r="G41" s="95"/>
      <c r="H41" s="95"/>
      <c r="I41" s="95"/>
      <c r="K41" s="32"/>
      <c r="L41" s="32"/>
      <c r="M41" s="32"/>
    </row>
    <row r="42" spans="2:13">
      <c r="B42" s="39"/>
      <c r="C42" s="34" t="s">
        <v>41</v>
      </c>
      <c r="D42" s="32" t="s">
        <v>29</v>
      </c>
      <c r="E42" s="32" t="s">
        <v>22</v>
      </c>
      <c r="F42" s="89" t="str">
        <f>C42&amp;E42</f>
        <v>TPV Process CostsOPEX</v>
      </c>
      <c r="G42" s="120">
        <f ca="1">(((('Independent Cost Inputs'!$G92*Switches_Low)+('Independent Cost Inputs'!$G$95*Switches_Low*'Independent Cost Inputs'!$G$76))*(1-OnlineSalesPc))+(OnlineSalesPc*Switches_Low*'Independent Cost Inputs'!$G$93))*'Independent Cost Inputs'!Z19</f>
        <v>2496.5603926884974</v>
      </c>
      <c r="H42" s="120">
        <f ca="1">(((('Independent Cost Inputs'!$G92*Switches_Medium)+('Independent Cost Inputs'!$G$95*Switches_Medium*'Independent Cost Inputs'!$G$76))*(1-OnlineSalesPc))+(OnlineSalesPc*Switches_Medium*'Independent Cost Inputs'!$G$93))*'Independent Cost Inputs'!AA19</f>
        <v>49931.207853769942</v>
      </c>
      <c r="I42" s="120">
        <f ca="1">(((('Independent Cost Inputs'!$G92*Switches_High)+('Independent Cost Inputs'!$G$95*Switches_High*'Independent Cost Inputs'!$G$76))*(1-OnlineSalesPc))+(OnlineSalesPc*Switches_High*'Independent Cost Inputs'!$G$93))*'Independent Cost Inputs'!AB19</f>
        <v>915405.47731911577</v>
      </c>
      <c r="K42" s="32"/>
      <c r="L42" s="32"/>
      <c r="M42" s="32"/>
    </row>
    <row r="43" spans="2:13">
      <c r="B43" s="39"/>
      <c r="G43" s="95"/>
      <c r="H43" s="95"/>
      <c r="I43" s="95"/>
      <c r="K43" s="32"/>
      <c r="L43" s="32"/>
      <c r="M43" s="32"/>
    </row>
    <row r="44" spans="2:13">
      <c r="B44" s="39"/>
      <c r="G44" s="95"/>
      <c r="H44" s="95"/>
      <c r="I44" s="95"/>
      <c r="K44" s="32"/>
      <c r="L44" s="32"/>
      <c r="M44" s="32"/>
    </row>
    <row r="45" spans="2:13">
      <c r="B45" s="39"/>
      <c r="G45" s="95"/>
      <c r="H45" s="95"/>
      <c r="I45" s="95"/>
    </row>
    <row r="46" spans="2:13">
      <c r="G46" s="95"/>
      <c r="H46" s="95"/>
      <c r="I46" s="95"/>
    </row>
  </sheetData>
  <pageMargins left="0.7" right="0.7" top="0.75" bottom="0.75" header="0.3" footer="0.3"/>
  <pageSetup paperSize="9" orientation="portrait" verticalDpi="0" r:id="rId1"/>
</worksheet>
</file>

<file path=xl/worksheets/sheet28.xml><?xml version="1.0" encoding="utf-8"?>
<worksheet xmlns="http://schemas.openxmlformats.org/spreadsheetml/2006/main" xmlns:r="http://schemas.openxmlformats.org/officeDocument/2006/relationships">
  <sheetPr codeName="Sheet41"/>
  <dimension ref="A2:J83"/>
  <sheetViews>
    <sheetView showGridLines="0" zoomScale="70" zoomScaleNormal="70" workbookViewId="0">
      <selection activeCell="G25" sqref="G25"/>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89" hidden="1" customWidth="1"/>
    <col min="7" max="9" width="16" style="95" customWidth="1"/>
    <col min="10" max="16384" width="9.140625" style="30"/>
  </cols>
  <sheetData>
    <row r="2" spans="2:10">
      <c r="B2" s="39" t="s">
        <v>0</v>
      </c>
      <c r="C2" s="49" t="str">
        <f ca="1">MID(CELL("filename",A1),FIND("]",CELL("filename",A1))+1,256)</f>
        <v>TPV2 - Systems Workings</v>
      </c>
    </row>
    <row r="3" spans="2:10">
      <c r="B3" s="39" t="s">
        <v>1</v>
      </c>
      <c r="C3" s="32" t="s">
        <v>102</v>
      </c>
    </row>
    <row r="5" spans="2:10" s="51" customFormat="1">
      <c r="B5" s="144" t="s">
        <v>18</v>
      </c>
      <c r="C5" s="52" t="s">
        <v>19</v>
      </c>
      <c r="D5" s="52" t="s">
        <v>20</v>
      </c>
      <c r="E5" s="52" t="s">
        <v>52</v>
      </c>
      <c r="F5" s="90" t="s">
        <v>53</v>
      </c>
      <c r="G5" s="124" t="s">
        <v>228</v>
      </c>
      <c r="H5" s="124" t="s">
        <v>229</v>
      </c>
      <c r="I5" s="124" t="s">
        <v>230</v>
      </c>
    </row>
    <row r="7" spans="2:10">
      <c r="B7" s="144" t="s">
        <v>4</v>
      </c>
      <c r="C7" s="32" t="s">
        <v>21</v>
      </c>
      <c r="G7" s="125">
        <f ca="1">SUMIF($E$11:$E$200,"CAPEX",G11:G200)</f>
        <v>0</v>
      </c>
      <c r="H7" s="125">
        <f t="shared" ref="H7:I7" ca="1" si="0">SUMIF($E$11:$E$200,"CAPEX",H11:H200)</f>
        <v>345000</v>
      </c>
      <c r="I7" s="125">
        <f t="shared" ca="1" si="0"/>
        <v>880000</v>
      </c>
    </row>
    <row r="8" spans="2:10">
      <c r="C8" s="32" t="s">
        <v>22</v>
      </c>
      <c r="G8" s="125">
        <f ca="1">SUMIF($E$11:$E$200,"OPEX",G11:G200)</f>
        <v>0</v>
      </c>
      <c r="H8" s="125">
        <f t="shared" ref="H8:I8" ca="1" si="1">SUMIF($E$11:$E$200,"OPEX",H11:H200)</f>
        <v>69000</v>
      </c>
      <c r="I8" s="125">
        <f t="shared" ca="1" si="1"/>
        <v>176000</v>
      </c>
    </row>
    <row r="9" spans="2:10">
      <c r="B9" s="34"/>
      <c r="C9" s="141" t="s">
        <v>28</v>
      </c>
      <c r="D9" s="141"/>
      <c r="E9" s="141"/>
      <c r="F9" s="142"/>
      <c r="G9" s="143"/>
      <c r="H9" s="143"/>
      <c r="I9" s="143"/>
      <c r="J9" s="31"/>
    </row>
    <row r="10" spans="2:10" s="39" customFormat="1">
      <c r="B10" s="34"/>
      <c r="C10" s="34"/>
      <c r="D10" s="34"/>
      <c r="E10" s="34"/>
      <c r="F10" s="55"/>
      <c r="G10" s="95"/>
      <c r="H10" s="95"/>
      <c r="I10" s="95"/>
      <c r="J10" s="62"/>
    </row>
    <row r="11" spans="2:10">
      <c r="B11" s="34"/>
      <c r="C11" s="32" t="s">
        <v>28</v>
      </c>
      <c r="D11" s="32" t="s">
        <v>56</v>
      </c>
      <c r="E11" s="32" t="s">
        <v>57</v>
      </c>
      <c r="F11" s="89" t="str">
        <f>C11&amp;E11</f>
        <v>CRM ChangesCAPEX_INPUT</v>
      </c>
      <c r="G11" s="96">
        <f>'Independent Cost Inputs'!Z21</f>
        <v>0</v>
      </c>
      <c r="H11" s="96">
        <f>'Independent Cost Inputs'!AA21</f>
        <v>150</v>
      </c>
      <c r="I11" s="96">
        <f>'Independent Cost Inputs'!AB21</f>
        <v>400</v>
      </c>
      <c r="J11" s="31"/>
    </row>
    <row r="12" spans="2:10">
      <c r="B12" s="34"/>
      <c r="C12" s="32" t="s">
        <v>28</v>
      </c>
      <c r="D12" s="32" t="s">
        <v>29</v>
      </c>
      <c r="E12" s="32" t="s">
        <v>57</v>
      </c>
      <c r="F12" s="89" t="str">
        <f t="shared" ref="F12:F47" si="2">C12&amp;E12</f>
        <v>CRM ChangesCAPEX_INPUT</v>
      </c>
      <c r="G12" s="96">
        <f>'Independent Cost Inputs'!Z22</f>
        <v>0</v>
      </c>
      <c r="H12" s="96">
        <f>'Independent Cost Inputs'!AA22</f>
        <v>20000</v>
      </c>
      <c r="I12" s="96">
        <f>'Independent Cost Inputs'!AB22</f>
        <v>50000</v>
      </c>
      <c r="J12" s="61"/>
    </row>
    <row r="13" spans="2:10">
      <c r="B13" s="34"/>
      <c r="C13" s="32" t="s">
        <v>28</v>
      </c>
      <c r="D13" s="32" t="s">
        <v>29</v>
      </c>
      <c r="E13" s="32" t="s">
        <v>21</v>
      </c>
      <c r="F13" s="89" t="str">
        <f t="shared" si="2"/>
        <v>CRM ChangesCAPEX</v>
      </c>
      <c r="G13" s="120">
        <f ca="1">(G11*Day_Rate)+G12</f>
        <v>0</v>
      </c>
      <c r="H13" s="120">
        <f ca="1">(H11*Day_Rate)+H12</f>
        <v>95000</v>
      </c>
      <c r="I13" s="120">
        <f ca="1">(I11*Day_Rate)+I12</f>
        <v>250000</v>
      </c>
      <c r="J13" s="31"/>
    </row>
    <row r="14" spans="2:10">
      <c r="B14" s="34"/>
      <c r="F14" s="89" t="str">
        <f t="shared" si="2"/>
        <v/>
      </c>
      <c r="G14" s="97"/>
      <c r="H14" s="97"/>
      <c r="I14" s="97"/>
      <c r="J14" s="31"/>
    </row>
    <row r="15" spans="2:10">
      <c r="B15" s="34"/>
      <c r="C15" s="32" t="s">
        <v>28</v>
      </c>
      <c r="D15" s="32" t="s">
        <v>58</v>
      </c>
      <c r="E15" s="32" t="s">
        <v>59</v>
      </c>
      <c r="F15" s="89" t="str">
        <f t="shared" si="2"/>
        <v>CRM ChangesOPEX_INPUT</v>
      </c>
      <c r="G15" s="98">
        <f ca="1">'Independent Cost Inputs'!Z23</f>
        <v>0.2</v>
      </c>
      <c r="H15" s="98">
        <f ca="1">'Independent Cost Inputs'!AA23</f>
        <v>0.2</v>
      </c>
      <c r="I15" s="98">
        <f ca="1">'Independent Cost Inputs'!AB23</f>
        <v>0.2</v>
      </c>
      <c r="J15" s="31"/>
    </row>
    <row r="16" spans="2:10">
      <c r="B16" s="34"/>
      <c r="C16" s="32" t="s">
        <v>28</v>
      </c>
      <c r="D16" s="32" t="s">
        <v>29</v>
      </c>
      <c r="E16" s="32" t="s">
        <v>22</v>
      </c>
      <c r="F16" s="89" t="str">
        <f t="shared" si="2"/>
        <v>CRM ChangesOPEX</v>
      </c>
      <c r="G16" s="121">
        <f ca="1">G15*G13</f>
        <v>0</v>
      </c>
      <c r="H16" s="121">
        <f t="shared" ref="H16:I16" ca="1" si="3">H15*H13</f>
        <v>19000</v>
      </c>
      <c r="I16" s="121">
        <f t="shared" ca="1" si="3"/>
        <v>50000</v>
      </c>
      <c r="J16" s="31"/>
    </row>
    <row r="17" spans="1:10">
      <c r="A17" s="42"/>
      <c r="B17" s="34"/>
      <c r="F17" s="89" t="str">
        <f t="shared" si="2"/>
        <v/>
      </c>
    </row>
    <row r="18" spans="1:10">
      <c r="A18" s="42"/>
      <c r="B18" s="34"/>
      <c r="C18" s="141" t="s">
        <v>30</v>
      </c>
      <c r="D18" s="141"/>
      <c r="E18" s="141"/>
      <c r="F18" s="141"/>
      <c r="G18" s="143"/>
      <c r="H18" s="143"/>
      <c r="I18" s="143"/>
    </row>
    <row r="19" spans="1:10">
      <c r="A19" s="42"/>
      <c r="B19" s="34"/>
    </row>
    <row r="20" spans="1:10">
      <c r="A20" s="42"/>
      <c r="B20" s="34"/>
      <c r="C20" s="32" t="s">
        <v>30</v>
      </c>
      <c r="G20" s="96"/>
      <c r="H20" s="96"/>
      <c r="I20" s="96"/>
    </row>
    <row r="21" spans="1:10">
      <c r="A21" s="42"/>
      <c r="B21" s="34"/>
    </row>
    <row r="22" spans="1:10">
      <c r="B22" s="34"/>
      <c r="C22" s="141" t="s">
        <v>31</v>
      </c>
      <c r="D22" s="141"/>
      <c r="E22" s="141"/>
      <c r="F22" s="141"/>
      <c r="G22" s="143"/>
      <c r="H22" s="143"/>
      <c r="I22" s="143"/>
    </row>
    <row r="23" spans="1:10">
      <c r="B23" s="34"/>
      <c r="F23" s="89" t="str">
        <f t="shared" si="2"/>
        <v/>
      </c>
    </row>
    <row r="24" spans="1:10">
      <c r="B24" s="34"/>
      <c r="C24" s="32" t="s">
        <v>31</v>
      </c>
      <c r="D24" s="32" t="s">
        <v>56</v>
      </c>
      <c r="E24" s="32" t="s">
        <v>57</v>
      </c>
      <c r="F24" s="89" t="str">
        <f t="shared" si="2"/>
        <v>Customer Order Management ChangesCAPEX_INPUT</v>
      </c>
      <c r="G24" s="96">
        <f>'Independent Cost Inputs'!Z25</f>
        <v>0</v>
      </c>
      <c r="H24" s="96">
        <f>'Independent Cost Inputs'!AA25</f>
        <v>160</v>
      </c>
      <c r="I24" s="96">
        <f>'Independent Cost Inputs'!AB25</f>
        <v>300</v>
      </c>
      <c r="J24" s="31"/>
    </row>
    <row r="25" spans="1:10">
      <c r="B25" s="34"/>
      <c r="C25" s="32" t="s">
        <v>31</v>
      </c>
      <c r="D25" s="32" t="s">
        <v>29</v>
      </c>
      <c r="E25" s="32" t="s">
        <v>57</v>
      </c>
      <c r="F25" s="89" t="str">
        <f t="shared" si="2"/>
        <v>Customer Order Management ChangesCAPEX_INPUT</v>
      </c>
      <c r="G25" s="96">
        <f>'Independent Cost Inputs'!Z26</f>
        <v>0</v>
      </c>
      <c r="H25" s="96">
        <f>'Independent Cost Inputs'!AA26</f>
        <v>20000</v>
      </c>
      <c r="I25" s="96">
        <f>'Independent Cost Inputs'!AB26</f>
        <v>50000</v>
      </c>
      <c r="J25" s="31"/>
    </row>
    <row r="26" spans="1:10">
      <c r="B26" s="34"/>
      <c r="C26" s="32" t="s">
        <v>31</v>
      </c>
      <c r="D26" s="32" t="s">
        <v>29</v>
      </c>
      <c r="E26" s="32" t="s">
        <v>21</v>
      </c>
      <c r="F26" s="89" t="str">
        <f t="shared" si="2"/>
        <v>Customer Order Management ChangesCAPEX</v>
      </c>
      <c r="G26" s="120">
        <f ca="1">(G24*Day_Rate)+G25</f>
        <v>0</v>
      </c>
      <c r="H26" s="120">
        <f ca="1">(H24*Day_Rate)+H25</f>
        <v>100000</v>
      </c>
      <c r="I26" s="120">
        <f ca="1">(I24*Day_Rate)+I25</f>
        <v>200000</v>
      </c>
    </row>
    <row r="27" spans="1:10">
      <c r="B27" s="34"/>
      <c r="F27" s="89" t="str">
        <f t="shared" si="2"/>
        <v/>
      </c>
    </row>
    <row r="28" spans="1:10">
      <c r="B28" s="34"/>
      <c r="C28" s="32" t="s">
        <v>31</v>
      </c>
      <c r="D28" s="32" t="s">
        <v>58</v>
      </c>
      <c r="E28" s="60" t="s">
        <v>59</v>
      </c>
      <c r="F28" s="89" t="str">
        <f t="shared" si="2"/>
        <v>Customer Order Management ChangesOPEX_INPUT</v>
      </c>
      <c r="G28" s="98">
        <f ca="1">'Independent Cost Inputs'!Z27</f>
        <v>0.2</v>
      </c>
      <c r="H28" s="98">
        <f ca="1">'Independent Cost Inputs'!AA27</f>
        <v>0.2</v>
      </c>
      <c r="I28" s="98">
        <f ca="1">'Independent Cost Inputs'!AB27</f>
        <v>0.2</v>
      </c>
    </row>
    <row r="29" spans="1:10">
      <c r="B29" s="34"/>
      <c r="C29" s="32" t="s">
        <v>31</v>
      </c>
      <c r="D29" s="32" t="s">
        <v>29</v>
      </c>
      <c r="E29" s="32" t="s">
        <v>22</v>
      </c>
      <c r="F29" s="89" t="str">
        <f t="shared" si="2"/>
        <v>Customer Order Management ChangesOPEX</v>
      </c>
      <c r="G29" s="122">
        <f ca="1">G28*G26</f>
        <v>0</v>
      </c>
      <c r="H29" s="122">
        <f t="shared" ref="H29:I29" ca="1" si="4">H28*H26</f>
        <v>20000</v>
      </c>
      <c r="I29" s="122">
        <f t="shared" ca="1" si="4"/>
        <v>40000</v>
      </c>
    </row>
    <row r="30" spans="1:10">
      <c r="B30" s="34"/>
      <c r="G30" s="97"/>
      <c r="H30" s="97"/>
      <c r="I30" s="97"/>
    </row>
    <row r="31" spans="1:10">
      <c r="B31" s="34"/>
      <c r="C31" s="141" t="s">
        <v>32</v>
      </c>
      <c r="D31" s="141"/>
      <c r="E31" s="141"/>
      <c r="F31" s="141"/>
      <c r="G31" s="143"/>
      <c r="H31" s="143"/>
      <c r="I31" s="143"/>
    </row>
    <row r="32" spans="1:10">
      <c r="B32" s="34"/>
      <c r="F32" s="89" t="str">
        <f t="shared" si="2"/>
        <v/>
      </c>
    </row>
    <row r="33" spans="2:10">
      <c r="B33" s="34"/>
      <c r="C33" s="32" t="s">
        <v>32</v>
      </c>
      <c r="D33" s="32" t="s">
        <v>56</v>
      </c>
      <c r="E33" s="32" t="s">
        <v>57</v>
      </c>
      <c r="F33" s="89" t="str">
        <f t="shared" si="2"/>
        <v>Service Order Management ChangesCAPEX_INPUT</v>
      </c>
      <c r="G33" s="96">
        <f>'Independent Cost Inputs'!Z28</f>
        <v>0</v>
      </c>
      <c r="H33" s="96">
        <f>'Independent Cost Inputs'!AA28</f>
        <v>60</v>
      </c>
      <c r="I33" s="96">
        <f>'Independent Cost Inputs'!AB28</f>
        <v>300</v>
      </c>
      <c r="J33" s="31"/>
    </row>
    <row r="34" spans="2:10">
      <c r="B34" s="34"/>
      <c r="C34" s="32" t="s">
        <v>32</v>
      </c>
      <c r="D34" s="32" t="s">
        <v>29</v>
      </c>
      <c r="E34" s="32" t="s">
        <v>57</v>
      </c>
      <c r="F34" s="89" t="str">
        <f t="shared" si="2"/>
        <v>Service Order Management ChangesCAPEX_INPUT</v>
      </c>
      <c r="G34" s="96">
        <f>'Independent Cost Inputs'!Z29</f>
        <v>0</v>
      </c>
      <c r="H34" s="96">
        <f>'Independent Cost Inputs'!AA29</f>
        <v>10000</v>
      </c>
      <c r="I34" s="96">
        <f>'Independent Cost Inputs'!AB29</f>
        <v>40000</v>
      </c>
      <c r="J34" s="61"/>
    </row>
    <row r="35" spans="2:10">
      <c r="B35" s="34"/>
      <c r="C35" s="32" t="s">
        <v>32</v>
      </c>
      <c r="D35" s="32" t="s">
        <v>29</v>
      </c>
      <c r="E35" s="32" t="s">
        <v>21</v>
      </c>
      <c r="F35" s="89" t="str">
        <f t="shared" si="2"/>
        <v>Service Order Management ChangesCAPEX</v>
      </c>
      <c r="G35" s="120">
        <f ca="1">(G33*Day_Rate)+G34</f>
        <v>0</v>
      </c>
      <c r="H35" s="120">
        <f ca="1">(H33*Day_Rate)+H34</f>
        <v>40000</v>
      </c>
      <c r="I35" s="120">
        <f ca="1">(I33*Day_Rate)+I34</f>
        <v>190000</v>
      </c>
    </row>
    <row r="36" spans="2:10">
      <c r="B36" s="34"/>
      <c r="F36" s="89" t="str">
        <f t="shared" si="2"/>
        <v/>
      </c>
    </row>
    <row r="37" spans="2:10">
      <c r="B37" s="34"/>
      <c r="C37" s="32" t="s">
        <v>32</v>
      </c>
      <c r="D37" s="32" t="s">
        <v>58</v>
      </c>
      <c r="E37" s="60" t="s">
        <v>59</v>
      </c>
      <c r="F37" s="89" t="str">
        <f t="shared" si="2"/>
        <v>Service Order Management ChangesOPEX_INPUT</v>
      </c>
      <c r="G37" s="98">
        <f ca="1">'Independent Cost Inputs'!Z30</f>
        <v>0.2</v>
      </c>
      <c r="H37" s="98">
        <f ca="1">'Independent Cost Inputs'!AA30</f>
        <v>0.2</v>
      </c>
      <c r="I37" s="98">
        <f ca="1">'Independent Cost Inputs'!AB30</f>
        <v>0.2</v>
      </c>
    </row>
    <row r="38" spans="2:10">
      <c r="B38" s="34"/>
      <c r="C38" s="32" t="s">
        <v>32</v>
      </c>
      <c r="D38" s="32" t="s">
        <v>29</v>
      </c>
      <c r="E38" s="32" t="s">
        <v>22</v>
      </c>
      <c r="F38" s="89" t="str">
        <f t="shared" si="2"/>
        <v>Service Order Management ChangesOPEX</v>
      </c>
      <c r="G38" s="122">
        <f ca="1">G37*G35</f>
        <v>0</v>
      </c>
      <c r="H38" s="122">
        <f t="shared" ref="H38:I38" ca="1" si="5">H37*H35</f>
        <v>8000</v>
      </c>
      <c r="I38" s="122">
        <f t="shared" ca="1" si="5"/>
        <v>38000</v>
      </c>
    </row>
    <row r="39" spans="2:10">
      <c r="B39" s="34"/>
      <c r="F39" s="89" t="str">
        <f t="shared" si="2"/>
        <v/>
      </c>
    </row>
    <row r="40" spans="2:10">
      <c r="B40" s="34"/>
      <c r="C40" s="141" t="s">
        <v>33</v>
      </c>
      <c r="D40" s="141"/>
      <c r="E40" s="141"/>
      <c r="F40" s="141"/>
      <c r="G40" s="143"/>
      <c r="H40" s="143"/>
      <c r="I40" s="143"/>
      <c r="J40" s="31"/>
    </row>
    <row r="41" spans="2:10">
      <c r="B41" s="34"/>
      <c r="F41" s="89" t="str">
        <f t="shared" si="2"/>
        <v/>
      </c>
      <c r="J41" s="61"/>
    </row>
    <row r="42" spans="2:10">
      <c r="B42" s="34"/>
      <c r="C42" s="32" t="s">
        <v>33</v>
      </c>
      <c r="D42" s="32" t="s">
        <v>56</v>
      </c>
      <c r="E42" s="32" t="s">
        <v>57</v>
      </c>
      <c r="F42" s="89" t="str">
        <f t="shared" si="2"/>
        <v>Partner Management ChangesCAPEX_INPUT</v>
      </c>
      <c r="G42" s="96">
        <f>'Independent Cost Inputs'!Z31</f>
        <v>0</v>
      </c>
      <c r="H42" s="96">
        <f>'Independent Cost Inputs'!AA31</f>
        <v>70</v>
      </c>
      <c r="I42" s="96">
        <f>'Independent Cost Inputs'!AB31</f>
        <v>150</v>
      </c>
      <c r="J42" s="31"/>
    </row>
    <row r="43" spans="2:10">
      <c r="B43" s="34"/>
      <c r="C43" s="32" t="s">
        <v>33</v>
      </c>
      <c r="D43" s="32" t="s">
        <v>29</v>
      </c>
      <c r="E43" s="32" t="s">
        <v>57</v>
      </c>
      <c r="F43" s="89" t="str">
        <f t="shared" si="2"/>
        <v>Partner Management ChangesCAPEX_INPUT</v>
      </c>
      <c r="G43" s="96">
        <f>'Independent Cost Inputs'!Z32</f>
        <v>0</v>
      </c>
      <c r="H43" s="96">
        <f>'Independent Cost Inputs'!AA32</f>
        <v>0</v>
      </c>
      <c r="I43" s="96">
        <f>'Independent Cost Inputs'!AB32</f>
        <v>0</v>
      </c>
      <c r="J43" s="61"/>
    </row>
    <row r="44" spans="2:10">
      <c r="B44" s="34"/>
      <c r="C44" s="32" t="s">
        <v>33</v>
      </c>
      <c r="D44" s="32" t="s">
        <v>29</v>
      </c>
      <c r="E44" s="32" t="s">
        <v>21</v>
      </c>
      <c r="F44" s="89" t="str">
        <f t="shared" si="2"/>
        <v>Partner Management ChangesCAPEX</v>
      </c>
      <c r="G44" s="120">
        <f ca="1">(G42*Day_Rate)+G43</f>
        <v>0</v>
      </c>
      <c r="H44" s="120">
        <f ca="1">(H42*Day_Rate)+H43</f>
        <v>35000</v>
      </c>
      <c r="I44" s="120">
        <f ca="1">(I42*Day_Rate)+I43</f>
        <v>75000</v>
      </c>
    </row>
    <row r="45" spans="2:10">
      <c r="B45" s="34"/>
    </row>
    <row r="46" spans="2:10">
      <c r="B46" s="34"/>
      <c r="C46" s="32" t="s">
        <v>33</v>
      </c>
      <c r="D46" s="32" t="s">
        <v>58</v>
      </c>
      <c r="E46" s="60" t="s">
        <v>59</v>
      </c>
      <c r="F46" s="89" t="str">
        <f t="shared" si="2"/>
        <v>Partner Management ChangesOPEX_INPUT</v>
      </c>
      <c r="G46" s="98">
        <f ca="1">'Independent Cost Inputs'!Z33</f>
        <v>0.2</v>
      </c>
      <c r="H46" s="98">
        <f ca="1">'Independent Cost Inputs'!AA33</f>
        <v>0.2</v>
      </c>
      <c r="I46" s="98">
        <f ca="1">'Independent Cost Inputs'!AB33</f>
        <v>0.2</v>
      </c>
    </row>
    <row r="47" spans="2:10">
      <c r="B47" s="34"/>
      <c r="C47" s="32" t="s">
        <v>33</v>
      </c>
      <c r="D47" s="32" t="s">
        <v>29</v>
      </c>
      <c r="E47" s="32" t="s">
        <v>22</v>
      </c>
      <c r="F47" s="89" t="str">
        <f t="shared" si="2"/>
        <v>Partner Management ChangesOPEX</v>
      </c>
      <c r="G47" s="122">
        <f ca="1">G46*G44</f>
        <v>0</v>
      </c>
      <c r="H47" s="122">
        <f t="shared" ref="H47:I47" ca="1" si="6">H46*H44</f>
        <v>7000</v>
      </c>
      <c r="I47" s="122">
        <f t="shared" ca="1" si="6"/>
        <v>15000</v>
      </c>
    </row>
    <row r="48" spans="2:10">
      <c r="B48" s="34"/>
    </row>
    <row r="49" spans="2:10">
      <c r="B49" s="34"/>
      <c r="C49" s="141" t="s">
        <v>34</v>
      </c>
      <c r="D49" s="141"/>
      <c r="E49" s="141"/>
      <c r="F49" s="141"/>
      <c r="G49" s="143"/>
      <c r="H49" s="143"/>
      <c r="I49" s="143"/>
      <c r="J49" s="31"/>
    </row>
    <row r="50" spans="2:10">
      <c r="B50" s="34"/>
      <c r="J50" s="61"/>
    </row>
    <row r="51" spans="2:10">
      <c r="B51" s="34"/>
      <c r="C51" s="32" t="s">
        <v>34</v>
      </c>
      <c r="D51" s="32" t="s">
        <v>56</v>
      </c>
      <c r="E51" s="32" t="s">
        <v>57</v>
      </c>
      <c r="F51" s="89" t="str">
        <f t="shared" ref="F51:F53" si="7">C51&amp;E51</f>
        <v>Customer Problem Management ChangesCAPEX_INPUT</v>
      </c>
      <c r="G51" s="96">
        <f>'Independent Cost Inputs'!Z34</f>
        <v>0</v>
      </c>
      <c r="H51" s="96">
        <f>'Independent Cost Inputs'!AA34</f>
        <v>70</v>
      </c>
      <c r="I51" s="96">
        <f>'Independent Cost Inputs'!AB34</f>
        <v>150</v>
      </c>
      <c r="J51" s="31"/>
    </row>
    <row r="52" spans="2:10">
      <c r="B52" s="34"/>
      <c r="C52" s="32" t="s">
        <v>34</v>
      </c>
      <c r="D52" s="32" t="s">
        <v>29</v>
      </c>
      <c r="E52" s="32" t="s">
        <v>57</v>
      </c>
      <c r="F52" s="89" t="str">
        <f t="shared" si="7"/>
        <v>Customer Problem Management ChangesCAPEX_INPUT</v>
      </c>
      <c r="G52" s="96">
        <f>'Independent Cost Inputs'!Z35</f>
        <v>0</v>
      </c>
      <c r="H52" s="96">
        <f>'Independent Cost Inputs'!AA35</f>
        <v>0</v>
      </c>
      <c r="I52" s="96">
        <f>'Independent Cost Inputs'!AB35</f>
        <v>0</v>
      </c>
      <c r="J52" s="61"/>
    </row>
    <row r="53" spans="2:10">
      <c r="B53" s="34"/>
      <c r="C53" s="32" t="s">
        <v>34</v>
      </c>
      <c r="D53" s="32" t="s">
        <v>29</v>
      </c>
      <c r="E53" s="32" t="s">
        <v>21</v>
      </c>
      <c r="F53" s="89" t="str">
        <f t="shared" si="7"/>
        <v>Customer Problem Management ChangesCAPEX</v>
      </c>
      <c r="G53" s="120">
        <f ca="1">(G51*Day_Rate)+G52</f>
        <v>0</v>
      </c>
      <c r="H53" s="120">
        <f ca="1">(H51*Day_Rate)+H52</f>
        <v>35000</v>
      </c>
      <c r="I53" s="120">
        <f ca="1">(I51*Day_Rate)+I52</f>
        <v>75000</v>
      </c>
    </row>
    <row r="54" spans="2:10">
      <c r="B54" s="34"/>
    </row>
    <row r="55" spans="2:10">
      <c r="B55" s="34"/>
      <c r="C55" s="32" t="s">
        <v>34</v>
      </c>
      <c r="D55" s="32" t="s">
        <v>58</v>
      </c>
      <c r="E55" s="60" t="s">
        <v>59</v>
      </c>
      <c r="F55" s="89" t="str">
        <f t="shared" ref="F55:F56" si="8">C55&amp;E55</f>
        <v>Customer Problem Management ChangesOPEX_INPUT</v>
      </c>
      <c r="G55" s="98">
        <f ca="1">'Independent Cost Inputs'!Z36</f>
        <v>0.2</v>
      </c>
      <c r="H55" s="98">
        <f ca="1">'Independent Cost Inputs'!AA36</f>
        <v>0.2</v>
      </c>
      <c r="I55" s="98">
        <f ca="1">'Independent Cost Inputs'!AB36</f>
        <v>0.2</v>
      </c>
    </row>
    <row r="56" spans="2:10">
      <c r="B56" s="34"/>
      <c r="C56" s="32" t="s">
        <v>34</v>
      </c>
      <c r="D56" s="32" t="s">
        <v>29</v>
      </c>
      <c r="E56" s="32" t="s">
        <v>22</v>
      </c>
      <c r="F56" s="89" t="str">
        <f t="shared" si="8"/>
        <v>Customer Problem Management ChangesOPEX</v>
      </c>
      <c r="G56" s="122">
        <f ca="1">G55*G53</f>
        <v>0</v>
      </c>
      <c r="H56" s="122">
        <f t="shared" ref="H56:I56" ca="1" si="9">H55*H53</f>
        <v>7000</v>
      </c>
      <c r="I56" s="122">
        <f t="shared" ca="1" si="9"/>
        <v>15000</v>
      </c>
    </row>
    <row r="57" spans="2:10">
      <c r="B57" s="34"/>
    </row>
    <row r="58" spans="2:10">
      <c r="B58" s="34"/>
      <c r="C58" s="141" t="s">
        <v>35</v>
      </c>
      <c r="D58" s="141"/>
      <c r="E58" s="141"/>
      <c r="F58" s="141"/>
      <c r="G58" s="143"/>
      <c r="H58" s="143"/>
      <c r="I58" s="143"/>
      <c r="J58" s="31"/>
    </row>
    <row r="59" spans="2:10">
      <c r="B59" s="34"/>
      <c r="J59" s="61"/>
    </row>
    <row r="60" spans="2:10">
      <c r="B60" s="34"/>
      <c r="C60" s="32" t="s">
        <v>35</v>
      </c>
      <c r="D60" s="32" t="s">
        <v>56</v>
      </c>
      <c r="E60" s="32" t="s">
        <v>57</v>
      </c>
      <c r="F60" s="89" t="str">
        <f t="shared" ref="F60:F62" si="10">C60&amp;E60</f>
        <v>Service Problem Management ChangesCAPEX_INPUT</v>
      </c>
      <c r="G60" s="96">
        <f>'Independent Cost Inputs'!Z37</f>
        <v>0</v>
      </c>
      <c r="H60" s="96">
        <f>'Independent Cost Inputs'!AA37</f>
        <v>20</v>
      </c>
      <c r="I60" s="96">
        <f>'Independent Cost Inputs'!AB37</f>
        <v>60</v>
      </c>
    </row>
    <row r="61" spans="2:10">
      <c r="B61" s="34"/>
      <c r="C61" s="32" t="s">
        <v>35</v>
      </c>
      <c r="D61" s="32" t="s">
        <v>29</v>
      </c>
      <c r="E61" s="32" t="s">
        <v>57</v>
      </c>
      <c r="F61" s="89" t="str">
        <f t="shared" si="10"/>
        <v>Service Problem Management ChangesCAPEX_INPUT</v>
      </c>
      <c r="G61" s="96">
        <f>'Independent Cost Inputs'!Z38</f>
        <v>0</v>
      </c>
      <c r="H61" s="96">
        <f>'Independent Cost Inputs'!AA38</f>
        <v>0</v>
      </c>
      <c r="I61" s="96">
        <f>'Independent Cost Inputs'!AB38</f>
        <v>0</v>
      </c>
    </row>
    <row r="62" spans="2:10">
      <c r="B62" s="34"/>
      <c r="C62" s="32" t="s">
        <v>35</v>
      </c>
      <c r="D62" s="32" t="s">
        <v>29</v>
      </c>
      <c r="E62" s="32" t="s">
        <v>21</v>
      </c>
      <c r="F62" s="89" t="str">
        <f t="shared" si="10"/>
        <v>Service Problem Management ChangesCAPEX</v>
      </c>
      <c r="G62" s="120">
        <f ca="1">(G60*Day_Rate)+G61</f>
        <v>0</v>
      </c>
      <c r="H62" s="120">
        <f ca="1">(H60*Day_Rate)+H61</f>
        <v>10000</v>
      </c>
      <c r="I62" s="120">
        <f ca="1">(I60*Day_Rate)+I61</f>
        <v>30000</v>
      </c>
    </row>
    <row r="63" spans="2:10">
      <c r="B63" s="34"/>
    </row>
    <row r="64" spans="2:10">
      <c r="B64" s="34"/>
      <c r="C64" s="32" t="s">
        <v>35</v>
      </c>
      <c r="D64" s="32" t="s">
        <v>58</v>
      </c>
      <c r="E64" s="60" t="s">
        <v>59</v>
      </c>
      <c r="F64" s="89" t="str">
        <f t="shared" ref="F64:F65" si="11">C64&amp;E64</f>
        <v>Service Problem Management ChangesOPEX_INPUT</v>
      </c>
      <c r="G64" s="98">
        <f ca="1">'Independent Cost Inputs'!Z39</f>
        <v>0.2</v>
      </c>
      <c r="H64" s="98">
        <f ca="1">'Independent Cost Inputs'!AA39</f>
        <v>0.2</v>
      </c>
      <c r="I64" s="98">
        <f ca="1">'Independent Cost Inputs'!AB39</f>
        <v>0.2</v>
      </c>
    </row>
    <row r="65" spans="2:9">
      <c r="B65" s="34"/>
      <c r="C65" s="32" t="s">
        <v>35</v>
      </c>
      <c r="D65" s="32" t="s">
        <v>29</v>
      </c>
      <c r="E65" s="32" t="s">
        <v>22</v>
      </c>
      <c r="F65" s="89" t="str">
        <f t="shared" si="11"/>
        <v>Service Problem Management ChangesOPEX</v>
      </c>
      <c r="G65" s="120">
        <f ca="1">G64*G62</f>
        <v>0</v>
      </c>
      <c r="H65" s="120">
        <f ca="1">H64*H62</f>
        <v>2000</v>
      </c>
      <c r="I65" s="120">
        <f ca="1">I64*I62</f>
        <v>6000</v>
      </c>
    </row>
    <row r="67" spans="2:9">
      <c r="C67" s="141" t="s">
        <v>312</v>
      </c>
      <c r="D67" s="141"/>
      <c r="E67" s="141"/>
      <c r="F67" s="141"/>
      <c r="G67" s="143"/>
      <c r="H67" s="143"/>
      <c r="I67" s="143"/>
    </row>
    <row r="69" spans="2:9">
      <c r="C69" s="32" t="s">
        <v>312</v>
      </c>
      <c r="D69" s="32" t="s">
        <v>56</v>
      </c>
      <c r="E69" s="32" t="s">
        <v>57</v>
      </c>
      <c r="F69" s="89" t="str">
        <f t="shared" ref="F69:F71" si="12">C69&amp;E69</f>
        <v>Transactional Document ProductionCAPEX_INPUT</v>
      </c>
      <c r="G69" s="96">
        <f>'Independent Cost Inputs'!Z40</f>
        <v>0</v>
      </c>
      <c r="H69" s="96">
        <f>'Independent Cost Inputs'!AA40</f>
        <v>0</v>
      </c>
      <c r="I69" s="96">
        <f>'Independent Cost Inputs'!AB40</f>
        <v>0</v>
      </c>
    </row>
    <row r="70" spans="2:9">
      <c r="C70" s="32" t="s">
        <v>312</v>
      </c>
      <c r="D70" s="32" t="s">
        <v>29</v>
      </c>
      <c r="E70" s="32" t="s">
        <v>57</v>
      </c>
      <c r="F70" s="89" t="str">
        <f t="shared" si="12"/>
        <v>Transactional Document ProductionCAPEX_INPUT</v>
      </c>
      <c r="G70" s="96">
        <f>'Independent Cost Inputs'!Z41</f>
        <v>0</v>
      </c>
      <c r="H70" s="96">
        <f>'Independent Cost Inputs'!AA41</f>
        <v>0</v>
      </c>
      <c r="I70" s="96">
        <f>'Independent Cost Inputs'!AB41</f>
        <v>0</v>
      </c>
    </row>
    <row r="71" spans="2:9">
      <c r="C71" s="32" t="s">
        <v>312</v>
      </c>
      <c r="D71" s="32" t="s">
        <v>29</v>
      </c>
      <c r="E71" s="32" t="s">
        <v>21</v>
      </c>
      <c r="F71" s="89" t="str">
        <f t="shared" si="12"/>
        <v>Transactional Document ProductionCAPEX</v>
      </c>
      <c r="G71" s="120">
        <f ca="1">(G69*Day_Rate)+G70</f>
        <v>0</v>
      </c>
      <c r="H71" s="120">
        <f ca="1">(H69*Day_Rate)+H70</f>
        <v>0</v>
      </c>
      <c r="I71" s="120">
        <f ca="1">(I69*Day_Rate)+I70</f>
        <v>0</v>
      </c>
    </row>
    <row r="73" spans="2:9">
      <c r="C73" s="32" t="s">
        <v>312</v>
      </c>
      <c r="D73" s="32" t="s">
        <v>58</v>
      </c>
      <c r="E73" s="60" t="s">
        <v>59</v>
      </c>
      <c r="F73" s="89" t="str">
        <f t="shared" ref="F73:F74" si="13">C73&amp;E73</f>
        <v>Transactional Document ProductionOPEX_INPUT</v>
      </c>
      <c r="G73" s="98">
        <f>'Independent Cost Inputs'!Z42</f>
        <v>0</v>
      </c>
      <c r="H73" s="98">
        <f>'Independent Cost Inputs'!AA42</f>
        <v>0</v>
      </c>
      <c r="I73" s="98">
        <f>'Independent Cost Inputs'!AB42</f>
        <v>0</v>
      </c>
    </row>
    <row r="74" spans="2:9">
      <c r="C74" s="32" t="s">
        <v>312</v>
      </c>
      <c r="D74" s="32" t="s">
        <v>29</v>
      </c>
      <c r="E74" s="32" t="s">
        <v>22</v>
      </c>
      <c r="F74" s="89" t="str">
        <f t="shared" si="13"/>
        <v>Transactional Document ProductionOPEX</v>
      </c>
      <c r="G74" s="120">
        <f ca="1">G73*G71</f>
        <v>0</v>
      </c>
      <c r="H74" s="120">
        <f ca="1">H73*H71</f>
        <v>0</v>
      </c>
      <c r="I74" s="120">
        <f ca="1">I73*I71</f>
        <v>0</v>
      </c>
    </row>
    <row r="76" spans="2:9">
      <c r="C76" s="141" t="s">
        <v>313</v>
      </c>
      <c r="D76" s="141"/>
      <c r="E76" s="141"/>
      <c r="F76" s="141"/>
      <c r="G76" s="143"/>
      <c r="H76" s="143"/>
      <c r="I76" s="143"/>
    </row>
    <row r="78" spans="2:9">
      <c r="C78" s="32" t="s">
        <v>313</v>
      </c>
      <c r="D78" s="32" t="s">
        <v>56</v>
      </c>
      <c r="E78" s="32" t="s">
        <v>57</v>
      </c>
      <c r="F78" s="89" t="str">
        <f t="shared" ref="F78:F80" si="14">C78&amp;E78</f>
        <v>Customer Self ManagementCAPEX_INPUT</v>
      </c>
      <c r="G78" s="96">
        <f>'Independent Cost Inputs'!Z43</f>
        <v>0</v>
      </c>
      <c r="H78" s="96">
        <f>'Independent Cost Inputs'!AA43</f>
        <v>60</v>
      </c>
      <c r="I78" s="96">
        <f>'Independent Cost Inputs'!AB43</f>
        <v>120</v>
      </c>
    </row>
    <row r="79" spans="2:9">
      <c r="C79" s="32" t="s">
        <v>313</v>
      </c>
      <c r="D79" s="32" t="s">
        <v>29</v>
      </c>
      <c r="E79" s="32" t="s">
        <v>57</v>
      </c>
      <c r="F79" s="89" t="str">
        <f t="shared" si="14"/>
        <v>Customer Self ManagementCAPEX_INPUT</v>
      </c>
      <c r="G79" s="96">
        <f>'Independent Cost Inputs'!Z44</f>
        <v>0</v>
      </c>
      <c r="H79" s="96">
        <f>'Independent Cost Inputs'!AA44</f>
        <v>0</v>
      </c>
      <c r="I79" s="96">
        <f>'Independent Cost Inputs'!AB44</f>
        <v>0</v>
      </c>
    </row>
    <row r="80" spans="2:9">
      <c r="C80" s="32" t="s">
        <v>313</v>
      </c>
      <c r="D80" s="32" t="s">
        <v>29</v>
      </c>
      <c r="E80" s="32" t="s">
        <v>21</v>
      </c>
      <c r="F80" s="89" t="str">
        <f t="shared" si="14"/>
        <v>Customer Self ManagementCAPEX</v>
      </c>
      <c r="G80" s="120">
        <f ca="1">(G78*Day_Rate)+G79</f>
        <v>0</v>
      </c>
      <c r="H80" s="120">
        <f ca="1">(H78*Day_Rate)+H79</f>
        <v>30000</v>
      </c>
      <c r="I80" s="120">
        <f ca="1">(I78*Day_Rate)+I79</f>
        <v>60000</v>
      </c>
    </row>
    <row r="82" spans="3:9">
      <c r="C82" s="32" t="s">
        <v>313</v>
      </c>
      <c r="D82" s="32" t="s">
        <v>58</v>
      </c>
      <c r="E82" s="60" t="s">
        <v>59</v>
      </c>
      <c r="F82" s="89" t="str">
        <f t="shared" ref="F82:F83" si="15">C82&amp;E82</f>
        <v>Customer Self ManagementOPEX_INPUT</v>
      </c>
      <c r="G82" s="98">
        <f ca="1">'Independent Cost Inputs'!Z45</f>
        <v>0.2</v>
      </c>
      <c r="H82" s="98">
        <f ca="1">'Independent Cost Inputs'!AA45</f>
        <v>0.2</v>
      </c>
      <c r="I82" s="98">
        <f ca="1">'Independent Cost Inputs'!AB45</f>
        <v>0.2</v>
      </c>
    </row>
    <row r="83" spans="3:9">
      <c r="C83" s="32" t="s">
        <v>313</v>
      </c>
      <c r="D83" s="32" t="s">
        <v>29</v>
      </c>
      <c r="E83" s="32" t="s">
        <v>22</v>
      </c>
      <c r="F83" s="89" t="str">
        <f t="shared" si="15"/>
        <v>Customer Self ManagementOPEX</v>
      </c>
      <c r="G83" s="120">
        <f ca="1">G82*G80</f>
        <v>0</v>
      </c>
      <c r="H83" s="120">
        <f ca="1">H82*H80</f>
        <v>6000</v>
      </c>
      <c r="I83" s="120">
        <f ca="1">I82*I80</f>
        <v>12000</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sheetPr codeName="Sheet42"/>
  <dimension ref="A2:L122"/>
  <sheetViews>
    <sheetView showGridLines="0" zoomScale="70" zoomScaleNormal="70" workbookViewId="0">
      <selection activeCell="F1" sqref="F1:F1048576"/>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89" hidden="1" customWidth="1"/>
    <col min="7" max="9" width="16" style="32" customWidth="1"/>
    <col min="10" max="16384" width="9.140625" style="30"/>
  </cols>
  <sheetData>
    <row r="2" spans="2:9">
      <c r="B2" s="39" t="s">
        <v>0</v>
      </c>
      <c r="C2" s="49" t="str">
        <f ca="1">MID(CELL("filename",A1),FIND("]",CELL("filename",A1))+1,256)</f>
        <v>TPV2 - Central Costs</v>
      </c>
    </row>
    <row r="3" spans="2:9">
      <c r="B3" s="39" t="s">
        <v>1</v>
      </c>
      <c r="C3" s="89" t="s">
        <v>67</v>
      </c>
    </row>
    <row r="5" spans="2:9" s="51" customFormat="1">
      <c r="B5" s="51" t="s">
        <v>18</v>
      </c>
      <c r="C5" s="52" t="s">
        <v>19</v>
      </c>
      <c r="D5" s="52" t="s">
        <v>20</v>
      </c>
      <c r="E5" s="52" t="s">
        <v>52</v>
      </c>
      <c r="F5" s="90" t="s">
        <v>53</v>
      </c>
      <c r="G5" s="124" t="s">
        <v>50</v>
      </c>
      <c r="H5" s="124" t="s">
        <v>131</v>
      </c>
      <c r="I5" s="124" t="s">
        <v>23</v>
      </c>
    </row>
    <row r="7" spans="2:9">
      <c r="B7" s="144" t="s">
        <v>4</v>
      </c>
      <c r="C7" s="32" t="s">
        <v>21</v>
      </c>
      <c r="G7" s="125">
        <f ca="1">SUMIF($E$11:$E$201,"CAPEX",G11:G201)</f>
        <v>1325000</v>
      </c>
      <c r="H7" s="125">
        <f t="shared" ref="H7:I7" ca="1" si="0">SUMIF($E$11:$E$201,"CAPEX",H11:H201)</f>
        <v>1550000</v>
      </c>
      <c r="I7" s="125">
        <f t="shared" ca="1" si="0"/>
        <v>1875000</v>
      </c>
    </row>
    <row r="8" spans="2:9">
      <c r="C8" s="32" t="s">
        <v>22</v>
      </c>
      <c r="G8" s="125">
        <f ca="1">SUMIF($E$11:$E$201,"OPEX",G11:G201)</f>
        <v>575000</v>
      </c>
      <c r="H8" s="125">
        <f t="shared" ref="H8:I8" ca="1" si="1">SUMIF($E$11:$E$201,"OPEX",H11:H201)</f>
        <v>890000</v>
      </c>
      <c r="I8" s="125">
        <f t="shared" ca="1" si="1"/>
        <v>1185000</v>
      </c>
    </row>
    <row r="9" spans="2:9">
      <c r="B9" s="34"/>
      <c r="C9" s="141" t="s">
        <v>42</v>
      </c>
      <c r="D9" s="141"/>
      <c r="E9" s="141"/>
      <c r="F9" s="142"/>
      <c r="G9" s="141"/>
      <c r="H9" s="141"/>
      <c r="I9" s="141"/>
    </row>
    <row r="10" spans="2:9" s="39" customFormat="1">
      <c r="C10" s="34"/>
      <c r="D10" s="34"/>
      <c r="E10" s="34"/>
      <c r="F10" s="55"/>
      <c r="G10" s="34"/>
      <c r="H10" s="34"/>
      <c r="I10" s="34"/>
    </row>
    <row r="11" spans="2:9">
      <c r="C11" s="32" t="s">
        <v>42</v>
      </c>
      <c r="D11" s="32" t="s">
        <v>56</v>
      </c>
      <c r="E11" s="32" t="s">
        <v>57</v>
      </c>
      <c r="F11" s="89" t="str">
        <f t="shared" ref="F11:F17" si="2">C11&amp;E11</f>
        <v>Hub System CostsCAPEX_INPUT</v>
      </c>
      <c r="G11" s="96">
        <f>'Independent Cost Inputs'!Z54</f>
        <v>2200</v>
      </c>
      <c r="H11" s="96">
        <f>'Independent Cost Inputs'!AA54</f>
        <v>2500</v>
      </c>
      <c r="I11" s="96">
        <f>'Independent Cost Inputs'!AB54</f>
        <v>3000</v>
      </c>
    </row>
    <row r="12" spans="2:9">
      <c r="C12" s="32" t="s">
        <v>42</v>
      </c>
      <c r="D12" s="32" t="s">
        <v>29</v>
      </c>
      <c r="E12" s="32" t="s">
        <v>57</v>
      </c>
      <c r="F12" s="89" t="str">
        <f t="shared" si="2"/>
        <v>Hub System CostsCAPEX_INPUT</v>
      </c>
      <c r="G12" s="96">
        <f>'Independent Cost Inputs'!Z55</f>
        <v>150000</v>
      </c>
      <c r="H12" s="96">
        <f>'Independent Cost Inputs'!AA55</f>
        <v>200000</v>
      </c>
      <c r="I12" s="96">
        <f>'Independent Cost Inputs'!AB55</f>
        <v>225000</v>
      </c>
    </row>
    <row r="13" spans="2:9">
      <c r="C13" s="32" t="s">
        <v>42</v>
      </c>
      <c r="D13" s="32" t="s">
        <v>29</v>
      </c>
      <c r="E13" s="32" t="s">
        <v>21</v>
      </c>
      <c r="F13" s="89" t="str">
        <f t="shared" si="2"/>
        <v>Hub System CostsCAPEX</v>
      </c>
      <c r="G13" s="120">
        <f ca="1">(G11*Day_Rate)+G12</f>
        <v>1250000</v>
      </c>
      <c r="H13" s="120">
        <f ca="1">(H11*Day_Rate)+H12</f>
        <v>1450000</v>
      </c>
      <c r="I13" s="120">
        <f ca="1">(I11*Day_Rate)+I12</f>
        <v>1725000</v>
      </c>
    </row>
    <row r="14" spans="2:9">
      <c r="F14" s="89" t="str">
        <f t="shared" si="2"/>
        <v/>
      </c>
      <c r="G14" s="97"/>
      <c r="H14" s="97"/>
      <c r="I14" s="97"/>
    </row>
    <row r="15" spans="2:9">
      <c r="C15" s="32" t="s">
        <v>42</v>
      </c>
      <c r="D15" s="32" t="s">
        <v>58</v>
      </c>
      <c r="E15" s="32" t="s">
        <v>59</v>
      </c>
      <c r="F15" s="89" t="str">
        <f t="shared" si="2"/>
        <v>Hub System CostsOPEX_INPUT</v>
      </c>
      <c r="G15" s="98">
        <f>'Independent Cost Inputs'!Z56</f>
        <v>0.1</v>
      </c>
      <c r="H15" s="98">
        <f ca="1">'Independent Cost Inputs'!AA56</f>
        <v>0.2</v>
      </c>
      <c r="I15" s="98">
        <f>'Independent Cost Inputs'!AB56</f>
        <v>0.2</v>
      </c>
    </row>
    <row r="16" spans="2:9">
      <c r="C16" s="32" t="s">
        <v>42</v>
      </c>
      <c r="D16" s="32" t="s">
        <v>29</v>
      </c>
      <c r="E16" s="32" t="s">
        <v>22</v>
      </c>
      <c r="F16" s="89" t="str">
        <f t="shared" si="2"/>
        <v>Hub System CostsOPEX</v>
      </c>
      <c r="G16" s="121">
        <f ca="1">G15*G13</f>
        <v>125000</v>
      </c>
      <c r="H16" s="121">
        <f ca="1">H15*H13</f>
        <v>290000</v>
      </c>
      <c r="I16" s="121">
        <f ca="1">I15*I13</f>
        <v>345000</v>
      </c>
    </row>
    <row r="17" spans="1:9">
      <c r="A17" s="42"/>
      <c r="B17" s="42"/>
      <c r="F17" s="89" t="str">
        <f t="shared" si="2"/>
        <v/>
      </c>
      <c r="G17" s="95"/>
      <c r="H17" s="95"/>
      <c r="I17" s="95"/>
    </row>
    <row r="18" spans="1:9">
      <c r="A18" s="42"/>
      <c r="B18" s="42"/>
      <c r="C18" s="141" t="s">
        <v>45</v>
      </c>
      <c r="D18" s="141"/>
      <c r="E18" s="141"/>
      <c r="F18" s="142"/>
      <c r="G18" s="141"/>
      <c r="H18" s="141"/>
      <c r="I18" s="141"/>
    </row>
    <row r="19" spans="1:9">
      <c r="A19" s="42"/>
      <c r="B19" s="42"/>
      <c r="G19" s="95"/>
      <c r="H19" s="95"/>
      <c r="I19" s="95"/>
    </row>
    <row r="20" spans="1:9">
      <c r="A20" s="42"/>
      <c r="B20" s="42"/>
      <c r="C20" s="34" t="s">
        <v>45</v>
      </c>
      <c r="D20" s="32" t="s">
        <v>61</v>
      </c>
      <c r="E20" s="32" t="s">
        <v>62</v>
      </c>
      <c r="F20" s="89" t="str">
        <f t="shared" ref="F20:F25" si="3">C20&amp;E20</f>
        <v>Hub Process CostsCAPEX _INPUT</v>
      </c>
      <c r="G20" s="116">
        <f>'Independent Cost Inputs'!Z57</f>
        <v>15</v>
      </c>
      <c r="H20" s="116">
        <f>'Independent Cost Inputs'!AA57</f>
        <v>20</v>
      </c>
      <c r="I20" s="116">
        <f>'Independent Cost Inputs'!AB57</f>
        <v>20</v>
      </c>
    </row>
    <row r="21" spans="1:9">
      <c r="A21" s="42"/>
      <c r="B21" s="42"/>
      <c r="C21" s="34" t="s">
        <v>45</v>
      </c>
      <c r="D21" s="32" t="s">
        <v>61</v>
      </c>
      <c r="E21" s="32" t="s">
        <v>62</v>
      </c>
      <c r="F21" s="89" t="str">
        <f t="shared" si="3"/>
        <v>Hub Process CostsCAPEX _INPUT</v>
      </c>
      <c r="G21" s="116">
        <f>'Independent Cost Inputs'!H58</f>
        <v>10</v>
      </c>
      <c r="H21" s="116">
        <f>'Independent Cost Inputs'!I58</f>
        <v>10</v>
      </c>
      <c r="I21" s="116">
        <f>'Independent Cost Inputs'!J58</f>
        <v>15</v>
      </c>
    </row>
    <row r="22" spans="1:9">
      <c r="C22" s="34" t="s">
        <v>45</v>
      </c>
      <c r="D22" s="32" t="s">
        <v>29</v>
      </c>
      <c r="E22" s="32" t="s">
        <v>21</v>
      </c>
      <c r="F22" s="89" t="str">
        <f t="shared" si="3"/>
        <v>Hub Process CostsCAPEX</v>
      </c>
      <c r="G22" s="120">
        <f ca="1">G20*Day_Rate*G21</f>
        <v>75000</v>
      </c>
      <c r="H22" s="120">
        <f ca="1">H20*Day_Rate*H21</f>
        <v>100000</v>
      </c>
      <c r="I22" s="120">
        <f ca="1">I20*Day_Rate*I21</f>
        <v>150000</v>
      </c>
    </row>
    <row r="23" spans="1:9">
      <c r="F23" s="89" t="str">
        <f t="shared" si="3"/>
        <v/>
      </c>
      <c r="G23" s="95"/>
      <c r="H23" s="95"/>
      <c r="I23" s="95"/>
    </row>
    <row r="24" spans="1:9">
      <c r="C24" s="34" t="s">
        <v>45</v>
      </c>
      <c r="D24" s="32" t="s">
        <v>58</v>
      </c>
      <c r="E24" s="60" t="s">
        <v>59</v>
      </c>
      <c r="F24" s="89" t="str">
        <f t="shared" si="3"/>
        <v>Hub Process CostsOPEX_INPUT</v>
      </c>
      <c r="G24" s="119">
        <f>'Independent Cost Inputs'!Z59</f>
        <v>0.5</v>
      </c>
      <c r="H24" s="119">
        <f>'Independent Cost Inputs'!AA59</f>
        <v>0.5</v>
      </c>
      <c r="I24" s="119">
        <f>'Independent Cost Inputs'!AB59</f>
        <v>0.7</v>
      </c>
    </row>
    <row r="25" spans="1:9">
      <c r="C25" s="34" t="s">
        <v>45</v>
      </c>
      <c r="D25" s="32" t="s">
        <v>29</v>
      </c>
      <c r="E25" s="32" t="s">
        <v>22</v>
      </c>
      <c r="F25" s="89" t="str">
        <f t="shared" si="3"/>
        <v>Hub Process CostsOPEX</v>
      </c>
      <c r="G25" s="120">
        <f ca="1">G20*G24*FTE_Cost</f>
        <v>450000</v>
      </c>
      <c r="H25" s="120">
        <f ca="1">H20*H24*FTE_Cost</f>
        <v>600000</v>
      </c>
      <c r="I25" s="120">
        <f ca="1">I20*I24*FTE_Cost</f>
        <v>840000</v>
      </c>
    </row>
    <row r="27" spans="1:9">
      <c r="C27" s="141" t="s">
        <v>44</v>
      </c>
      <c r="D27" s="141"/>
      <c r="E27" s="141"/>
      <c r="F27" s="141"/>
      <c r="G27" s="141"/>
      <c r="H27" s="141"/>
      <c r="I27" s="141"/>
    </row>
    <row r="28" spans="1:9">
      <c r="F28" s="89" t="str">
        <f t="shared" ref="F28:F43" si="4">C28&amp;E28</f>
        <v/>
      </c>
      <c r="G28" s="95"/>
      <c r="H28" s="95"/>
      <c r="I28" s="95"/>
    </row>
    <row r="29" spans="1:9">
      <c r="C29" s="32" t="s">
        <v>44</v>
      </c>
      <c r="D29" s="32" t="s">
        <v>56</v>
      </c>
      <c r="E29" s="32" t="s">
        <v>57</v>
      </c>
      <c r="F29" s="89" t="str">
        <f t="shared" si="4"/>
        <v>CCS System CostsCAPEX_INPUT</v>
      </c>
      <c r="G29" s="117">
        <f>'Independent Cost Inputs'!Z60</f>
        <v>0</v>
      </c>
      <c r="H29" s="117">
        <f>'Independent Cost Inputs'!AA60</f>
        <v>0</v>
      </c>
      <c r="I29" s="117">
        <f>'Independent Cost Inputs'!AB60</f>
        <v>0</v>
      </c>
    </row>
    <row r="30" spans="1:9">
      <c r="C30" s="32" t="s">
        <v>44</v>
      </c>
      <c r="D30" s="32" t="s">
        <v>29</v>
      </c>
      <c r="E30" s="32" t="s">
        <v>57</v>
      </c>
      <c r="F30" s="89" t="str">
        <f t="shared" si="4"/>
        <v>CCS System CostsCAPEX_INPUT</v>
      </c>
      <c r="G30" s="117">
        <f>'Independent Cost Inputs'!Z61</f>
        <v>0</v>
      </c>
      <c r="H30" s="117">
        <f>'Independent Cost Inputs'!AA61</f>
        <v>0</v>
      </c>
      <c r="I30" s="117">
        <f>'Independent Cost Inputs'!AB61</f>
        <v>0</v>
      </c>
    </row>
    <row r="31" spans="1:9">
      <c r="C31" s="32" t="s">
        <v>44</v>
      </c>
      <c r="D31" s="32" t="s">
        <v>29</v>
      </c>
      <c r="E31" s="32" t="s">
        <v>21</v>
      </c>
      <c r="F31" s="89" t="str">
        <f t="shared" si="4"/>
        <v>CCS System CostsCAPEX</v>
      </c>
      <c r="G31" s="120">
        <f ca="1">(G29*Day_Rate)+G30</f>
        <v>0</v>
      </c>
      <c r="H31" s="120">
        <f ca="1">(H29*Day_Rate)+H30</f>
        <v>0</v>
      </c>
      <c r="I31" s="120">
        <f ca="1">(I29*Day_Rate)+I30</f>
        <v>0</v>
      </c>
    </row>
    <row r="32" spans="1:9">
      <c r="F32" s="89" t="str">
        <f t="shared" si="4"/>
        <v/>
      </c>
      <c r="G32" s="95"/>
      <c r="H32" s="95"/>
      <c r="I32" s="95"/>
    </row>
    <row r="33" spans="1:12">
      <c r="C33" s="32" t="s">
        <v>44</v>
      </c>
      <c r="D33" s="32" t="s">
        <v>58</v>
      </c>
      <c r="E33" s="60" t="s">
        <v>59</v>
      </c>
      <c r="F33" s="89" t="str">
        <f t="shared" si="4"/>
        <v>CCS System CostsOPEX_INPUT</v>
      </c>
      <c r="G33" s="98">
        <f>'Independent Cost Inputs'!Z62</f>
        <v>0</v>
      </c>
      <c r="H33" s="98">
        <f>'Independent Cost Inputs'!AA62</f>
        <v>0</v>
      </c>
      <c r="I33" s="98">
        <f>'Independent Cost Inputs'!AB62</f>
        <v>0</v>
      </c>
      <c r="J33" s="32"/>
      <c r="K33" s="32"/>
      <c r="L33" s="32"/>
    </row>
    <row r="34" spans="1:12">
      <c r="C34" s="32" t="s">
        <v>44</v>
      </c>
      <c r="D34" s="32" t="s">
        <v>29</v>
      </c>
      <c r="E34" s="32" t="s">
        <v>22</v>
      </c>
      <c r="F34" s="89" t="str">
        <f t="shared" si="4"/>
        <v>CCS System CostsOPEX</v>
      </c>
      <c r="G34" s="120">
        <f ca="1">G33*G31</f>
        <v>0</v>
      </c>
      <c r="H34" s="120">
        <f ca="1">H33*H31</f>
        <v>0</v>
      </c>
      <c r="I34" s="120">
        <f ca="1">I33*I31</f>
        <v>0</v>
      </c>
      <c r="J34" s="32"/>
      <c r="K34" s="32"/>
      <c r="L34" s="32"/>
    </row>
    <row r="35" spans="1:12">
      <c r="F35" s="89" t="str">
        <f t="shared" si="4"/>
        <v/>
      </c>
      <c r="G35" s="95"/>
      <c r="H35" s="95"/>
      <c r="I35" s="95"/>
      <c r="J35" s="32"/>
      <c r="K35" s="32"/>
      <c r="L35" s="32"/>
    </row>
    <row r="36" spans="1:12">
      <c r="C36" s="141" t="s">
        <v>47</v>
      </c>
      <c r="D36" s="141"/>
      <c r="E36" s="141"/>
      <c r="F36" s="141"/>
      <c r="G36" s="141"/>
      <c r="H36" s="141"/>
      <c r="I36" s="141"/>
      <c r="J36" s="32"/>
      <c r="K36" s="32"/>
      <c r="L36" s="32"/>
    </row>
    <row r="37" spans="1:12">
      <c r="F37" s="89" t="str">
        <f t="shared" si="4"/>
        <v/>
      </c>
      <c r="G37" s="95"/>
      <c r="H37" s="95"/>
      <c r="I37" s="95"/>
      <c r="J37" s="32"/>
      <c r="K37" s="32"/>
      <c r="L37" s="32"/>
    </row>
    <row r="38" spans="1:12" s="32" customFormat="1">
      <c r="A38" s="30"/>
      <c r="B38" s="39"/>
      <c r="C38" s="32" t="s">
        <v>47</v>
      </c>
      <c r="D38" s="32" t="s">
        <v>61</v>
      </c>
      <c r="E38" s="32" t="s">
        <v>57</v>
      </c>
      <c r="F38" s="89" t="str">
        <f t="shared" si="4"/>
        <v>CCS Process CostsCAPEX_INPUT</v>
      </c>
      <c r="G38" s="117">
        <f>'Independent Cost Inputs'!Z63</f>
        <v>0</v>
      </c>
      <c r="H38" s="117">
        <f>'Independent Cost Inputs'!AA63</f>
        <v>0</v>
      </c>
      <c r="I38" s="117">
        <f>'Independent Cost Inputs'!AB63</f>
        <v>0</v>
      </c>
    </row>
    <row r="39" spans="1:12" s="32" customFormat="1">
      <c r="A39" s="30"/>
      <c r="B39" s="39"/>
      <c r="C39" s="32" t="s">
        <v>47</v>
      </c>
      <c r="D39" s="32" t="s">
        <v>61</v>
      </c>
      <c r="E39" s="32" t="s">
        <v>57</v>
      </c>
      <c r="F39" s="89" t="str">
        <f t="shared" si="4"/>
        <v>CCS Process CostsCAPEX_INPUT</v>
      </c>
      <c r="G39" s="117">
        <f>'Independent Cost Inputs'!Z64</f>
        <v>0</v>
      </c>
      <c r="H39" s="117">
        <f>'Independent Cost Inputs'!AA64</f>
        <v>0</v>
      </c>
      <c r="I39" s="117">
        <f>'Independent Cost Inputs'!AB64</f>
        <v>0</v>
      </c>
    </row>
    <row r="40" spans="1:12" s="32" customFormat="1">
      <c r="A40" s="30"/>
      <c r="B40" s="39"/>
      <c r="C40" s="32" t="s">
        <v>47</v>
      </c>
      <c r="D40" s="32" t="s">
        <v>29</v>
      </c>
      <c r="E40" s="32" t="s">
        <v>21</v>
      </c>
      <c r="F40" s="89" t="str">
        <f t="shared" si="4"/>
        <v>CCS Process CostsCAPEX</v>
      </c>
      <c r="G40" s="120">
        <f ca="1">G38*Day_Rate*G39</f>
        <v>0</v>
      </c>
      <c r="H40" s="120">
        <f ca="1">H38*Day_Rate*H39</f>
        <v>0</v>
      </c>
      <c r="I40" s="120">
        <f ca="1">I38*Day_Rate*I39</f>
        <v>0</v>
      </c>
    </row>
    <row r="41" spans="1:12" s="32" customFormat="1">
      <c r="A41" s="30"/>
      <c r="B41" s="39"/>
      <c r="C41" s="32" t="s">
        <v>47</v>
      </c>
      <c r="F41" s="89"/>
      <c r="G41" s="95"/>
      <c r="H41" s="95"/>
      <c r="I41" s="95"/>
    </row>
    <row r="42" spans="1:12" s="32" customFormat="1">
      <c r="A42" s="30"/>
      <c r="B42" s="39"/>
      <c r="C42" s="32" t="s">
        <v>47</v>
      </c>
      <c r="D42" s="32" t="s">
        <v>29</v>
      </c>
      <c r="E42" s="60" t="s">
        <v>59</v>
      </c>
      <c r="F42" s="89" t="str">
        <f t="shared" si="4"/>
        <v>CCS Process CostsOPEX_INPUT</v>
      </c>
      <c r="G42" s="119">
        <f>'Independent Cost Inputs'!Z65</f>
        <v>0</v>
      </c>
      <c r="H42" s="119">
        <f>'Independent Cost Inputs'!AA65</f>
        <v>0</v>
      </c>
      <c r="I42" s="119">
        <f>'Independent Cost Inputs'!AB65</f>
        <v>0</v>
      </c>
    </row>
    <row r="43" spans="1:12" s="32" customFormat="1">
      <c r="A43" s="30"/>
      <c r="B43" s="39"/>
      <c r="C43" s="32" t="s">
        <v>47</v>
      </c>
      <c r="D43" s="32" t="s">
        <v>29</v>
      </c>
      <c r="E43" s="32" t="s">
        <v>22</v>
      </c>
      <c r="F43" s="89" t="str">
        <f t="shared" si="4"/>
        <v>CCS Process CostsOPEX</v>
      </c>
      <c r="G43" s="123">
        <f ca="1">G42*FTE_Cost*G38</f>
        <v>0</v>
      </c>
      <c r="H43" s="123">
        <f ca="1">H42*FTE_Cost*H38</f>
        <v>0</v>
      </c>
      <c r="I43" s="123">
        <f ca="1">I42*FTE_Cost*I38</f>
        <v>0</v>
      </c>
    </row>
    <row r="44" spans="1:12" s="32" customFormat="1">
      <c r="A44" s="30"/>
      <c r="B44" s="39"/>
      <c r="F44" s="89"/>
    </row>
    <row r="45" spans="1:12" s="32" customFormat="1">
      <c r="A45" s="30"/>
      <c r="B45" s="39"/>
      <c r="F45" s="89"/>
    </row>
    <row r="46" spans="1:12" s="32" customFormat="1">
      <c r="A46" s="30"/>
      <c r="B46" s="39"/>
      <c r="F46" s="89"/>
    </row>
    <row r="47" spans="1:12" s="32" customFormat="1">
      <c r="A47" s="30"/>
      <c r="B47" s="39"/>
      <c r="F47" s="89"/>
    </row>
    <row r="48" spans="1:12" s="32" customFormat="1">
      <c r="A48" s="30"/>
      <c r="B48" s="39"/>
      <c r="F48" s="89"/>
    </row>
    <row r="49" spans="1:6" s="32" customFormat="1">
      <c r="A49" s="30"/>
      <c r="B49" s="39"/>
      <c r="F49" s="89"/>
    </row>
    <row r="50" spans="1:6" s="32" customFormat="1">
      <c r="A50" s="30"/>
      <c r="B50" s="39"/>
      <c r="F50" s="89"/>
    </row>
    <row r="51" spans="1:6" s="32" customFormat="1">
      <c r="A51" s="30"/>
      <c r="B51" s="39"/>
      <c r="F51" s="89"/>
    </row>
    <row r="52" spans="1:6" s="32" customFormat="1">
      <c r="A52" s="30"/>
      <c r="B52" s="39"/>
      <c r="F52" s="89"/>
    </row>
    <row r="53" spans="1:6" s="32" customFormat="1">
      <c r="A53" s="30"/>
      <c r="B53" s="39"/>
      <c r="F53" s="89"/>
    </row>
    <row r="54" spans="1:6" s="32" customFormat="1">
      <c r="A54" s="30"/>
      <c r="B54" s="39"/>
      <c r="F54" s="89"/>
    </row>
    <row r="55" spans="1:6" s="32" customFormat="1">
      <c r="A55" s="30"/>
      <c r="B55" s="39"/>
      <c r="F55" s="89"/>
    </row>
    <row r="56" spans="1:6" s="32" customFormat="1">
      <c r="A56" s="30"/>
      <c r="B56" s="39"/>
      <c r="F56" s="89"/>
    </row>
    <row r="57" spans="1:6" s="32" customFormat="1">
      <c r="A57" s="30"/>
      <c r="B57" s="39"/>
      <c r="F57" s="89"/>
    </row>
    <row r="58" spans="1:6" s="32" customFormat="1">
      <c r="A58" s="30"/>
      <c r="B58" s="39"/>
      <c r="F58" s="89"/>
    </row>
    <row r="59" spans="1:6" s="32" customFormat="1">
      <c r="A59" s="30"/>
      <c r="B59" s="39"/>
      <c r="F59" s="89"/>
    </row>
    <row r="60" spans="1:6" s="32" customFormat="1">
      <c r="A60" s="30"/>
      <c r="B60" s="39"/>
      <c r="F60" s="89"/>
    </row>
    <row r="61" spans="1:6" s="32" customFormat="1">
      <c r="A61" s="30"/>
      <c r="B61" s="39"/>
      <c r="F61" s="89"/>
    </row>
    <row r="62" spans="1:6" s="32" customFormat="1">
      <c r="A62" s="30"/>
      <c r="B62" s="39"/>
      <c r="F62" s="89"/>
    </row>
    <row r="63" spans="1:6" s="32" customFormat="1">
      <c r="A63" s="30"/>
      <c r="B63" s="39"/>
      <c r="F63" s="89"/>
    </row>
    <row r="64" spans="1:6" s="32" customFormat="1">
      <c r="A64" s="30"/>
      <c r="B64" s="39"/>
      <c r="F64" s="89"/>
    </row>
    <row r="65" spans="1:6" s="32" customFormat="1">
      <c r="A65" s="30"/>
      <c r="B65" s="39"/>
      <c r="F65" s="89"/>
    </row>
    <row r="66" spans="1:6" s="32" customFormat="1">
      <c r="A66" s="30"/>
      <c r="B66" s="39"/>
      <c r="F66" s="89"/>
    </row>
    <row r="67" spans="1:6" s="32" customFormat="1">
      <c r="A67" s="30"/>
      <c r="B67" s="39"/>
      <c r="F67" s="89"/>
    </row>
    <row r="68" spans="1:6" s="32" customFormat="1">
      <c r="A68" s="30"/>
      <c r="B68" s="39"/>
      <c r="F68" s="89"/>
    </row>
    <row r="69" spans="1:6" s="32" customFormat="1">
      <c r="A69" s="30"/>
      <c r="B69" s="39"/>
      <c r="F69" s="89"/>
    </row>
    <row r="70" spans="1:6" s="32" customFormat="1">
      <c r="A70" s="30"/>
      <c r="B70" s="39"/>
      <c r="F70" s="89"/>
    </row>
    <row r="71" spans="1:6" s="32" customFormat="1">
      <c r="A71" s="30"/>
      <c r="B71" s="39"/>
      <c r="F71" s="89"/>
    </row>
    <row r="72" spans="1:6" s="32" customFormat="1">
      <c r="A72" s="30"/>
      <c r="B72" s="39"/>
      <c r="F72" s="89"/>
    </row>
    <row r="73" spans="1:6" s="32" customFormat="1">
      <c r="A73" s="30"/>
      <c r="B73" s="39"/>
      <c r="F73" s="89"/>
    </row>
    <row r="74" spans="1:6" s="32" customFormat="1">
      <c r="A74" s="30"/>
      <c r="B74" s="39"/>
      <c r="F74" s="89"/>
    </row>
    <row r="75" spans="1:6" s="32" customFormat="1">
      <c r="A75" s="30"/>
      <c r="B75" s="39"/>
      <c r="F75" s="89"/>
    </row>
    <row r="76" spans="1:6" s="32" customFormat="1">
      <c r="A76" s="30"/>
      <c r="B76" s="39"/>
      <c r="F76" s="89"/>
    </row>
    <row r="77" spans="1:6" s="32" customFormat="1">
      <c r="A77" s="30"/>
      <c r="B77" s="39"/>
      <c r="F77" s="89"/>
    </row>
    <row r="78" spans="1:6" s="32" customFormat="1">
      <c r="A78" s="30"/>
      <c r="B78" s="39"/>
      <c r="F78" s="89"/>
    </row>
    <row r="79" spans="1:6" s="32" customFormat="1">
      <c r="A79" s="30"/>
      <c r="B79" s="39"/>
      <c r="F79" s="89"/>
    </row>
    <row r="80" spans="1:6" s="32" customFormat="1">
      <c r="A80" s="30"/>
      <c r="B80" s="39"/>
      <c r="F80" s="89"/>
    </row>
    <row r="81" spans="1:6" s="32" customFormat="1">
      <c r="A81" s="30"/>
      <c r="B81" s="39"/>
      <c r="F81" s="89"/>
    </row>
    <row r="82" spans="1:6" s="32" customFormat="1">
      <c r="A82" s="30"/>
      <c r="B82" s="39"/>
      <c r="F82" s="89"/>
    </row>
    <row r="83" spans="1:6" s="32" customFormat="1">
      <c r="A83" s="30"/>
      <c r="B83" s="39"/>
      <c r="F83" s="89"/>
    </row>
    <row r="84" spans="1:6" s="32" customFormat="1">
      <c r="A84" s="30"/>
      <c r="B84" s="39"/>
      <c r="F84" s="89"/>
    </row>
    <row r="85" spans="1:6" s="32" customFormat="1">
      <c r="A85" s="30"/>
      <c r="B85" s="39"/>
      <c r="F85" s="89"/>
    </row>
    <row r="86" spans="1:6" s="32" customFormat="1">
      <c r="A86" s="30"/>
      <c r="B86" s="39"/>
      <c r="F86" s="89"/>
    </row>
    <row r="87" spans="1:6" s="32" customFormat="1">
      <c r="A87" s="30"/>
      <c r="B87" s="39"/>
      <c r="F87" s="89"/>
    </row>
    <row r="88" spans="1:6" s="32" customFormat="1">
      <c r="A88" s="30"/>
      <c r="B88" s="39"/>
      <c r="F88" s="89"/>
    </row>
    <row r="89" spans="1:6" s="32" customFormat="1">
      <c r="A89" s="30"/>
      <c r="B89" s="39"/>
      <c r="F89" s="89"/>
    </row>
    <row r="90" spans="1:6" s="32" customFormat="1">
      <c r="A90" s="30"/>
      <c r="B90" s="39"/>
      <c r="F90" s="89"/>
    </row>
    <row r="91" spans="1:6" s="32" customFormat="1">
      <c r="A91" s="30"/>
      <c r="B91" s="39"/>
      <c r="F91" s="89"/>
    </row>
    <row r="92" spans="1:6" s="32" customFormat="1">
      <c r="A92" s="30"/>
      <c r="B92" s="39"/>
      <c r="F92" s="89"/>
    </row>
    <row r="93" spans="1:6" s="32" customFormat="1">
      <c r="A93" s="30"/>
      <c r="B93" s="39"/>
      <c r="F93" s="89"/>
    </row>
    <row r="94" spans="1:6" s="32" customFormat="1">
      <c r="A94" s="30"/>
      <c r="B94" s="39"/>
      <c r="F94" s="89"/>
    </row>
    <row r="95" spans="1:6" s="32" customFormat="1">
      <c r="A95" s="30"/>
      <c r="B95" s="39"/>
      <c r="F95" s="89"/>
    </row>
    <row r="96" spans="1:6" s="32" customFormat="1">
      <c r="A96" s="30"/>
      <c r="B96" s="39"/>
      <c r="F96" s="89"/>
    </row>
    <row r="97" spans="1:12" s="32" customFormat="1">
      <c r="A97" s="30"/>
      <c r="B97" s="39"/>
      <c r="F97" s="89"/>
    </row>
    <row r="98" spans="1:12" s="32" customFormat="1">
      <c r="A98" s="30"/>
      <c r="B98" s="39"/>
      <c r="F98" s="89"/>
    </row>
    <row r="99" spans="1:12" s="32" customFormat="1">
      <c r="A99" s="30"/>
      <c r="B99" s="39"/>
      <c r="F99" s="89"/>
    </row>
    <row r="100" spans="1:12" s="32" customFormat="1">
      <c r="A100" s="30"/>
      <c r="B100" s="39"/>
      <c r="F100" s="89"/>
    </row>
    <row r="101" spans="1:12" s="32" customFormat="1">
      <c r="A101" s="30"/>
      <c r="B101" s="39"/>
      <c r="F101" s="89"/>
    </row>
    <row r="102" spans="1:12" s="32" customFormat="1">
      <c r="A102" s="30"/>
      <c r="B102" s="39"/>
      <c r="F102" s="89"/>
    </row>
    <row r="103" spans="1:12" s="32" customFormat="1">
      <c r="A103" s="30"/>
      <c r="B103" s="39"/>
      <c r="F103" s="89"/>
    </row>
    <row r="104" spans="1:12" s="32" customFormat="1">
      <c r="A104" s="30"/>
      <c r="B104" s="39"/>
      <c r="F104" s="89"/>
    </row>
    <row r="105" spans="1:12" s="32" customFormat="1">
      <c r="A105" s="30"/>
      <c r="B105" s="39"/>
      <c r="F105" s="89"/>
    </row>
    <row r="106" spans="1:12" s="32" customFormat="1">
      <c r="A106" s="30"/>
      <c r="B106" s="39"/>
      <c r="F106" s="89"/>
    </row>
    <row r="107" spans="1:12" s="32" customFormat="1">
      <c r="A107" s="30"/>
      <c r="B107" s="39"/>
      <c r="F107" s="89"/>
    </row>
    <row r="108" spans="1:12" s="32" customFormat="1">
      <c r="A108" s="30"/>
      <c r="B108" s="39"/>
      <c r="F108" s="89"/>
    </row>
    <row r="109" spans="1:12" s="32" customFormat="1">
      <c r="A109" s="30"/>
      <c r="B109" s="39"/>
      <c r="F109" s="89"/>
      <c r="J109" s="30"/>
      <c r="K109" s="30"/>
      <c r="L109" s="30"/>
    </row>
    <row r="110" spans="1:12" s="32" customFormat="1">
      <c r="A110" s="30"/>
      <c r="B110" s="39"/>
      <c r="F110" s="89"/>
      <c r="J110" s="30"/>
      <c r="K110" s="30"/>
      <c r="L110" s="30"/>
    </row>
    <row r="111" spans="1:12" s="32" customFormat="1">
      <c r="A111" s="30"/>
      <c r="B111" s="39"/>
      <c r="F111" s="89"/>
      <c r="J111" s="30"/>
      <c r="K111" s="30"/>
      <c r="L111" s="30"/>
    </row>
    <row r="112" spans="1:12" s="32" customFormat="1">
      <c r="A112" s="30"/>
      <c r="B112" s="39"/>
      <c r="F112" s="89"/>
      <c r="J112" s="30"/>
      <c r="K112" s="30"/>
      <c r="L112" s="30"/>
    </row>
    <row r="113" spans="1:12" s="32" customFormat="1">
      <c r="A113" s="30"/>
      <c r="B113" s="39"/>
      <c r="F113" s="89"/>
      <c r="J113" s="30"/>
      <c r="K113" s="30"/>
      <c r="L113" s="30"/>
    </row>
    <row r="114" spans="1:12" s="32" customFormat="1">
      <c r="A114" s="30"/>
      <c r="B114" s="39"/>
      <c r="F114" s="89"/>
      <c r="J114" s="30"/>
      <c r="K114" s="30"/>
      <c r="L114" s="30"/>
    </row>
    <row r="115" spans="1:12" s="32" customFormat="1">
      <c r="A115" s="30"/>
      <c r="B115" s="39"/>
      <c r="F115" s="89"/>
      <c r="J115" s="30"/>
      <c r="K115" s="30"/>
      <c r="L115" s="30"/>
    </row>
    <row r="116" spans="1:12" s="32" customFormat="1">
      <c r="A116" s="30"/>
      <c r="B116" s="39"/>
      <c r="F116" s="89"/>
      <c r="J116" s="30"/>
      <c r="K116" s="30"/>
      <c r="L116" s="30"/>
    </row>
    <row r="117" spans="1:12" s="32" customFormat="1">
      <c r="A117" s="30"/>
      <c r="B117" s="39"/>
      <c r="F117" s="89"/>
      <c r="J117" s="30"/>
      <c r="K117" s="30"/>
      <c r="L117" s="30"/>
    </row>
    <row r="118" spans="1:12" s="32" customFormat="1">
      <c r="A118" s="30"/>
      <c r="B118" s="39"/>
      <c r="F118" s="89"/>
      <c r="J118" s="30"/>
      <c r="K118" s="30"/>
      <c r="L118" s="30"/>
    </row>
    <row r="119" spans="1:12" s="32" customFormat="1">
      <c r="A119" s="30"/>
      <c r="B119" s="39"/>
      <c r="F119" s="89"/>
      <c r="J119" s="30"/>
      <c r="K119" s="30"/>
      <c r="L119" s="30"/>
    </row>
    <row r="120" spans="1:12" s="32" customFormat="1">
      <c r="A120" s="30"/>
      <c r="B120" s="39"/>
      <c r="F120" s="89"/>
      <c r="J120" s="30"/>
      <c r="K120" s="30"/>
      <c r="L120" s="30"/>
    </row>
    <row r="121" spans="1:12" s="32" customFormat="1">
      <c r="A121" s="30"/>
      <c r="B121" s="39"/>
      <c r="F121" s="89"/>
      <c r="J121" s="30"/>
      <c r="K121" s="30"/>
      <c r="L121" s="30"/>
    </row>
    <row r="122" spans="1:12" s="32" customFormat="1">
      <c r="A122" s="30"/>
      <c r="B122" s="39"/>
      <c r="F122" s="89"/>
      <c r="J122" s="30"/>
      <c r="K122" s="30"/>
      <c r="L122" s="30"/>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codeName="Sheet43">
    <tabColor theme="3"/>
  </sheetPr>
  <dimension ref="A2:R23"/>
  <sheetViews>
    <sheetView showGridLines="0" zoomScale="85" zoomScaleNormal="85" workbookViewId="0">
      <selection activeCell="D39" sqref="D39"/>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sheetPr codeName="Sheet44"/>
  <dimension ref="A2:M46"/>
  <sheetViews>
    <sheetView showGridLines="0" zoomScale="70" zoomScaleNormal="70" workbookViewId="0">
      <selection activeCell="M30" sqref="M30"/>
    </sheetView>
  </sheetViews>
  <sheetFormatPr defaultColWidth="9.140625" defaultRowHeight="12.75"/>
  <cols>
    <col min="1" max="1" width="3.5703125" style="30" customWidth="1"/>
    <col min="2" max="2" width="18.85546875" style="30" customWidth="1"/>
    <col min="3" max="3" width="34" style="32" customWidth="1"/>
    <col min="4" max="4" width="10" style="32" customWidth="1"/>
    <col min="5" max="5" width="15.42578125" style="32" customWidth="1"/>
    <col min="6" max="6" width="19.5703125" style="89" hidden="1" customWidth="1"/>
    <col min="7" max="9" width="16" style="34" customWidth="1"/>
    <col min="10" max="16384" width="9.140625" style="30"/>
  </cols>
  <sheetData>
    <row r="2" spans="2:10">
      <c r="B2" s="30" t="s">
        <v>0</v>
      </c>
      <c r="C2" s="49" t="str">
        <f ca="1">MID(CELL("filename",A1),FIND("]",CELL("filename",A1))+1,256)</f>
        <v>TPV3 - Process Workings</v>
      </c>
    </row>
    <row r="3" spans="2:10">
      <c r="B3" s="30" t="s">
        <v>1</v>
      </c>
      <c r="C3" s="89" t="s">
        <v>99</v>
      </c>
    </row>
    <row r="5" spans="2:10" s="51" customFormat="1">
      <c r="B5" s="51" t="s">
        <v>18</v>
      </c>
      <c r="C5" s="52" t="s">
        <v>19</v>
      </c>
      <c r="D5" s="52" t="s">
        <v>20</v>
      </c>
      <c r="E5" s="52" t="s">
        <v>52</v>
      </c>
      <c r="F5" s="90" t="s">
        <v>53</v>
      </c>
      <c r="G5" s="124" t="s">
        <v>228</v>
      </c>
      <c r="H5" s="124" t="s">
        <v>229</v>
      </c>
      <c r="I5" s="124" t="s">
        <v>230</v>
      </c>
    </row>
    <row r="7" spans="2:10">
      <c r="B7" s="31" t="s">
        <v>4</v>
      </c>
      <c r="C7" s="32" t="s">
        <v>21</v>
      </c>
      <c r="G7" s="125">
        <f ca="1">SUMIF($E$11:$E$201,"CAPEX",G11:G201)</f>
        <v>5000</v>
      </c>
      <c r="H7" s="125">
        <f ca="1">SUMIF($E$11:$E$201,"CAPEX",H11:H201)</f>
        <v>115000</v>
      </c>
      <c r="I7" s="125">
        <f ca="1">SUMIF($E$11:$E$201,"CAPEX",I11:I201)</f>
        <v>365000</v>
      </c>
    </row>
    <row r="8" spans="2:10">
      <c r="C8" s="32" t="s">
        <v>22</v>
      </c>
      <c r="G8" s="125">
        <f ca="1">SUMIF($E$11:$E$201,"OPEX",G11:G201)</f>
        <v>39.027535908983282</v>
      </c>
      <c r="H8" s="125">
        <f ca="1">SUMIF($E$11:$E$201,"OPEX",H11:H201)</f>
        <v>3780.5507181796675</v>
      </c>
      <c r="I8" s="125">
        <f ca="1">SUMIF($E$11:$E$201,"OPEX",I11:I201)</f>
        <v>-208885.25613336492</v>
      </c>
    </row>
    <row r="9" spans="2:10">
      <c r="B9" s="34"/>
      <c r="C9" s="141" t="s">
        <v>71</v>
      </c>
      <c r="D9" s="141"/>
      <c r="E9" s="141"/>
      <c r="F9" s="142"/>
      <c r="G9" s="141"/>
      <c r="H9" s="141"/>
      <c r="I9" s="141"/>
    </row>
    <row r="10" spans="2:10" s="39" customFormat="1">
      <c r="B10" s="34"/>
      <c r="C10" s="34"/>
      <c r="D10" s="34"/>
      <c r="E10" s="34"/>
      <c r="F10" s="55"/>
      <c r="G10" s="95"/>
      <c r="H10" s="95"/>
      <c r="I10" s="95"/>
    </row>
    <row r="11" spans="2:10">
      <c r="B11" s="34"/>
      <c r="C11" s="32" t="s">
        <v>71</v>
      </c>
      <c r="D11" s="32" t="s">
        <v>61</v>
      </c>
      <c r="E11" s="32" t="s">
        <v>57</v>
      </c>
      <c r="F11" s="89" t="str">
        <f>C11&amp;E11</f>
        <v>CRM and Knowledge ManagementCAPEX_INPUT</v>
      </c>
      <c r="G11" s="96">
        <f>'Independent Cost Inputs'!AI8</f>
        <v>5</v>
      </c>
      <c r="H11" s="96">
        <f>'Independent Cost Inputs'!AJ8</f>
        <v>100</v>
      </c>
      <c r="I11" s="96">
        <f>'Independent Cost Inputs'!AK8</f>
        <v>350</v>
      </c>
    </row>
    <row r="12" spans="2:10">
      <c r="B12" s="34"/>
      <c r="C12" s="32" t="s">
        <v>71</v>
      </c>
      <c r="D12" s="32" t="s">
        <v>56</v>
      </c>
      <c r="E12" s="32" t="s">
        <v>57</v>
      </c>
      <c r="F12" s="89" t="str">
        <f>C12&amp;E12</f>
        <v>CRM and Knowledge ManagementCAPEX_INPUT</v>
      </c>
      <c r="G12" s="96">
        <f>'Independent Cost Inputs'!AI9</f>
        <v>1</v>
      </c>
      <c r="H12" s="96">
        <f>'Independent Cost Inputs'!AJ9</f>
        <v>1</v>
      </c>
      <c r="I12" s="96">
        <f>'Independent Cost Inputs'!AK9</f>
        <v>1</v>
      </c>
    </row>
    <row r="13" spans="2:10">
      <c r="B13" s="34"/>
      <c r="C13" s="32" t="s">
        <v>71</v>
      </c>
      <c r="D13" s="32" t="s">
        <v>56</v>
      </c>
      <c r="E13" s="32" t="s">
        <v>57</v>
      </c>
      <c r="F13" s="89" t="str">
        <f>C13&amp;E13</f>
        <v>CRM and Knowledge ManagementCAPEX_INPUT</v>
      </c>
      <c r="G13" s="96">
        <f>'Independent Cost Inputs'!AI10</f>
        <v>0</v>
      </c>
      <c r="H13" s="96">
        <f>'Independent Cost Inputs'!AJ10</f>
        <v>15</v>
      </c>
      <c r="I13" s="96">
        <f>'Independent Cost Inputs'!AK10</f>
        <v>15</v>
      </c>
    </row>
    <row r="14" spans="2:10">
      <c r="B14" s="34"/>
      <c r="C14" s="32" t="s">
        <v>71</v>
      </c>
      <c r="D14" s="32" t="s">
        <v>29</v>
      </c>
      <c r="E14" s="32" t="s">
        <v>57</v>
      </c>
      <c r="F14" s="89" t="str">
        <f>C14&amp;E14</f>
        <v>CRM and Knowledge ManagementCAPEX_INPUT</v>
      </c>
      <c r="G14" s="96">
        <f ca="1">'Independent Cost Inputs'!$G$73</f>
        <v>500</v>
      </c>
      <c r="H14" s="96">
        <f ca="1">'Independent Cost Inputs'!$G$73</f>
        <v>500</v>
      </c>
      <c r="I14" s="96">
        <f ca="1">'Independent Cost Inputs'!$G$73</f>
        <v>500</v>
      </c>
    </row>
    <row r="15" spans="2:10">
      <c r="B15" s="34"/>
      <c r="C15" s="32" t="s">
        <v>71</v>
      </c>
      <c r="D15" s="32" t="s">
        <v>29</v>
      </c>
      <c r="E15" s="32" t="s">
        <v>21</v>
      </c>
      <c r="F15" s="89" t="str">
        <f t="shared" ref="F15:F22" si="0">C15&amp;E15</f>
        <v>CRM and Knowledge ManagementCAPEX</v>
      </c>
      <c r="G15" s="120">
        <f ca="1">(G11*G14*G12)+(G13*Day_Rate)</f>
        <v>2500</v>
      </c>
      <c r="H15" s="120">
        <f ca="1">(H11*H14*H12)+(H13*Day_Rate)</f>
        <v>57500</v>
      </c>
      <c r="I15" s="120">
        <f ca="1">(I11*I14*I12)+(I13*Day_Rate)</f>
        <v>182500</v>
      </c>
      <c r="J15" s="61"/>
    </row>
    <row r="16" spans="2:10">
      <c r="B16" s="34"/>
      <c r="F16" s="89" t="str">
        <f t="shared" si="0"/>
        <v/>
      </c>
      <c r="G16" s="97"/>
      <c r="H16" s="97"/>
      <c r="I16" s="97"/>
      <c r="J16" s="31"/>
    </row>
    <row r="17" spans="1:10">
      <c r="B17" s="34"/>
      <c r="C17" s="32" t="s">
        <v>71</v>
      </c>
      <c r="D17" s="32" t="s">
        <v>58</v>
      </c>
      <c r="E17" s="32" t="s">
        <v>59</v>
      </c>
      <c r="F17" s="89" t="str">
        <f t="shared" si="0"/>
        <v>CRM and Knowledge ManagementOPEX_INPUT</v>
      </c>
      <c r="G17" s="98">
        <f ca="1">'Independent Cost Inputs'!Q11</f>
        <v>0.2</v>
      </c>
      <c r="H17" s="98">
        <f ca="1">'Independent Cost Inputs'!AJ11</f>
        <v>0.2</v>
      </c>
      <c r="I17" s="98">
        <f ca="1">'Independent Cost Inputs'!AK11</f>
        <v>0.2</v>
      </c>
      <c r="J17" s="31"/>
    </row>
    <row r="18" spans="1:10">
      <c r="B18" s="34"/>
      <c r="C18" s="32" t="s">
        <v>71</v>
      </c>
      <c r="D18" s="32" t="s">
        <v>29</v>
      </c>
      <c r="E18" s="32" t="s">
        <v>22</v>
      </c>
      <c r="F18" s="89" t="str">
        <f t="shared" si="0"/>
        <v>CRM and Knowledge ManagementOPEX</v>
      </c>
      <c r="G18" s="121">
        <f ca="1">G17*G15</f>
        <v>500</v>
      </c>
      <c r="H18" s="121">
        <f t="shared" ref="H18:I18" ca="1" si="1">H17*H15</f>
        <v>11500</v>
      </c>
      <c r="I18" s="121">
        <f t="shared" ca="1" si="1"/>
        <v>36500</v>
      </c>
      <c r="J18" s="61"/>
    </row>
    <row r="19" spans="1:10">
      <c r="A19" s="42"/>
      <c r="B19" s="34"/>
      <c r="F19" s="89" t="str">
        <f t="shared" si="0"/>
        <v/>
      </c>
      <c r="G19" s="95"/>
      <c r="H19" s="95"/>
      <c r="I19" s="95"/>
    </row>
    <row r="20" spans="1:10">
      <c r="B20" s="34"/>
      <c r="G20" s="95"/>
      <c r="H20" s="95"/>
      <c r="I20" s="95"/>
    </row>
    <row r="21" spans="1:10" ht="25.5">
      <c r="B21" s="34"/>
      <c r="C21" s="141" t="s">
        <v>38</v>
      </c>
      <c r="D21" s="141"/>
      <c r="E21" s="141"/>
      <c r="F21" s="141"/>
      <c r="G21" s="143"/>
      <c r="H21" s="143"/>
      <c r="I21" s="143"/>
    </row>
    <row r="22" spans="1:10">
      <c r="B22" s="34"/>
      <c r="F22" s="89" t="str">
        <f t="shared" si="0"/>
        <v/>
      </c>
      <c r="G22" s="95"/>
      <c r="H22" s="95"/>
      <c r="I22" s="95"/>
    </row>
    <row r="23" spans="1:10" ht="25.5">
      <c r="B23" s="34"/>
      <c r="C23" s="32" t="s">
        <v>38</v>
      </c>
      <c r="D23" s="32" t="s">
        <v>61</v>
      </c>
      <c r="E23" s="32" t="s">
        <v>57</v>
      </c>
      <c r="F23" s="89" t="str">
        <f>C23&amp;E23</f>
        <v>Customer Interface Management ChangesCAPEX_INPUT</v>
      </c>
      <c r="G23" s="96">
        <f>'Independent Cost Inputs'!AI12</f>
        <v>5</v>
      </c>
      <c r="H23" s="96">
        <f>'Independent Cost Inputs'!AJ12</f>
        <v>100</v>
      </c>
      <c r="I23" s="96">
        <f>'Independent Cost Inputs'!AK12</f>
        <v>350</v>
      </c>
    </row>
    <row r="24" spans="1:10" ht="25.5">
      <c r="B24" s="34"/>
      <c r="C24" s="32" t="s">
        <v>38</v>
      </c>
      <c r="D24" s="32" t="s">
        <v>56</v>
      </c>
      <c r="E24" s="32" t="s">
        <v>57</v>
      </c>
      <c r="F24" s="89" t="str">
        <f>C24&amp;E24</f>
        <v>Customer Interface Management ChangesCAPEX_INPUT</v>
      </c>
      <c r="G24" s="96">
        <f>'Independent Cost Inputs'!AI13</f>
        <v>1</v>
      </c>
      <c r="H24" s="96">
        <f>'Independent Cost Inputs'!AJ13</f>
        <v>1</v>
      </c>
      <c r="I24" s="96">
        <f>'Independent Cost Inputs'!AK13</f>
        <v>1</v>
      </c>
      <c r="J24" s="31"/>
    </row>
    <row r="25" spans="1:10" ht="25.5">
      <c r="B25" s="34"/>
      <c r="C25" s="32" t="s">
        <v>38</v>
      </c>
      <c r="D25" s="32" t="s">
        <v>56</v>
      </c>
      <c r="E25" s="32" t="s">
        <v>57</v>
      </c>
      <c r="F25" s="89" t="str">
        <f>C25&amp;E25</f>
        <v>Customer Interface Management ChangesCAPEX_INPUT</v>
      </c>
      <c r="G25" s="96">
        <f>'Independent Cost Inputs'!AI14</f>
        <v>0</v>
      </c>
      <c r="H25" s="96">
        <f>'Independent Cost Inputs'!AJ14</f>
        <v>15</v>
      </c>
      <c r="I25" s="96">
        <f>'Independent Cost Inputs'!AK14</f>
        <v>15</v>
      </c>
      <c r="J25" s="61"/>
    </row>
    <row r="26" spans="1:10" ht="25.5">
      <c r="B26" s="34"/>
      <c r="C26" s="32" t="s">
        <v>38</v>
      </c>
      <c r="D26" s="32" t="s">
        <v>29</v>
      </c>
      <c r="E26" s="32" t="s">
        <v>57</v>
      </c>
      <c r="F26" s="89" t="str">
        <f>C26&amp;E26</f>
        <v>Customer Interface Management ChangesCAPEX_INPUT</v>
      </c>
      <c r="G26" s="96">
        <f ca="1">'Independent Cost Inputs'!$G$73</f>
        <v>500</v>
      </c>
      <c r="H26" s="96">
        <f ca="1">'Independent Cost Inputs'!$G$73</f>
        <v>500</v>
      </c>
      <c r="I26" s="96">
        <f ca="1">'Independent Cost Inputs'!$G$73</f>
        <v>500</v>
      </c>
      <c r="J26" s="61"/>
    </row>
    <row r="27" spans="1:10" ht="25.5">
      <c r="B27" s="34"/>
      <c r="C27" s="32" t="s">
        <v>38</v>
      </c>
      <c r="D27" s="32" t="s">
        <v>29</v>
      </c>
      <c r="E27" s="32" t="s">
        <v>21</v>
      </c>
      <c r="F27" s="89" t="str">
        <f t="shared" ref="F27:F30" si="2">C27&amp;E27</f>
        <v>Customer Interface Management ChangesCAPEX</v>
      </c>
      <c r="G27" s="120">
        <f ca="1">(G23*G26*G24)+(G25*Day_Rate)</f>
        <v>2500</v>
      </c>
      <c r="H27" s="120">
        <f ca="1">(H23*H26*H24)+(H25*Day_Rate)</f>
        <v>57500</v>
      </c>
      <c r="I27" s="120">
        <f ca="1">(I23*I26*I24)+(I25*Day_Rate)</f>
        <v>182500</v>
      </c>
    </row>
    <row r="28" spans="1:10">
      <c r="B28" s="34"/>
      <c r="F28" s="89" t="str">
        <f t="shared" si="2"/>
        <v/>
      </c>
      <c r="G28" s="97"/>
      <c r="H28" s="97"/>
      <c r="I28" s="97"/>
    </row>
    <row r="29" spans="1:10" ht="25.5">
      <c r="B29" s="34"/>
      <c r="C29" s="32" t="s">
        <v>38</v>
      </c>
      <c r="D29" s="32" t="s">
        <v>58</v>
      </c>
      <c r="E29" s="32" t="s">
        <v>59</v>
      </c>
      <c r="F29" s="89" t="str">
        <f t="shared" si="2"/>
        <v>Customer Interface Management ChangesOPEX_INPUT</v>
      </c>
      <c r="G29" s="98">
        <f ca="1">'Independent Cost Inputs'!AI15</f>
        <v>0.2</v>
      </c>
      <c r="H29" s="98">
        <f ca="1">'Independent Cost Inputs'!AJ15</f>
        <v>0.2</v>
      </c>
      <c r="I29" s="98">
        <f ca="1">'Independent Cost Inputs'!AK15</f>
        <v>0.2</v>
      </c>
    </row>
    <row r="30" spans="1:10" ht="25.5">
      <c r="B30" s="34"/>
      <c r="C30" s="32" t="s">
        <v>38</v>
      </c>
      <c r="D30" s="32" t="s">
        <v>29</v>
      </c>
      <c r="E30" s="32" t="s">
        <v>22</v>
      </c>
      <c r="F30" s="89" t="str">
        <f t="shared" si="2"/>
        <v>Customer Interface Management ChangesOPEX</v>
      </c>
      <c r="G30" s="121">
        <f ca="1">G29*G27</f>
        <v>500</v>
      </c>
      <c r="H30" s="121">
        <f t="shared" ref="H30:I30" ca="1" si="3">H29*H27</f>
        <v>11500</v>
      </c>
      <c r="I30" s="121">
        <f t="shared" ca="1" si="3"/>
        <v>36500</v>
      </c>
    </row>
    <row r="31" spans="1:10">
      <c r="B31" s="34"/>
      <c r="G31" s="99"/>
      <c r="H31" s="99"/>
      <c r="I31" s="99"/>
    </row>
    <row r="32" spans="1:10">
      <c r="B32" s="34"/>
      <c r="C32" s="141" t="s">
        <v>39</v>
      </c>
      <c r="D32" s="141"/>
      <c r="E32" s="141"/>
      <c r="F32" s="141"/>
      <c r="G32" s="143"/>
      <c r="H32" s="143"/>
      <c r="I32" s="143"/>
    </row>
    <row r="33" spans="2:13">
      <c r="B33" s="34"/>
      <c r="F33" s="89" t="str">
        <f>C33&amp;E33</f>
        <v/>
      </c>
      <c r="G33" s="95"/>
      <c r="H33" s="95"/>
      <c r="I33" s="95"/>
    </row>
    <row r="34" spans="2:13">
      <c r="B34" s="34"/>
      <c r="C34" s="34" t="s">
        <v>39</v>
      </c>
      <c r="D34" s="32" t="s">
        <v>76</v>
      </c>
      <c r="E34" s="32" t="s">
        <v>59</v>
      </c>
      <c r="F34" s="89" t="str">
        <f>C34&amp;E34</f>
        <v>Order Handling ChangesOPEX_INPUT</v>
      </c>
      <c r="G34" s="96">
        <f>'Independent Cost Inputs'!AI18</f>
        <v>12</v>
      </c>
      <c r="H34" s="96">
        <f>'Independent Cost Inputs'!AJ18</f>
        <v>12</v>
      </c>
      <c r="I34" s="96">
        <f>'Independent Cost Inputs'!AK18</f>
        <v>12</v>
      </c>
    </row>
    <row r="35" spans="2:13">
      <c r="B35" s="34"/>
      <c r="C35" s="34" t="s">
        <v>452</v>
      </c>
      <c r="D35" s="32" t="s">
        <v>76</v>
      </c>
      <c r="E35" s="32" t="s">
        <v>59</v>
      </c>
      <c r="F35" s="89" t="str">
        <f>C35&amp;E35</f>
        <v>Order Handling Changes DeltaOPEX_INPUT</v>
      </c>
      <c r="G35" s="126">
        <f>G34-Call_Time_Blend</f>
        <v>-2.4810995849468718</v>
      </c>
      <c r="H35" s="126">
        <f>H34-Call_Time_Blend</f>
        <v>-2.4810995849468718</v>
      </c>
      <c r="I35" s="126">
        <f>I34-Call_Time_Blend</f>
        <v>-2.4810995849468718</v>
      </c>
    </row>
    <row r="36" spans="2:13">
      <c r="B36" s="34"/>
      <c r="C36" s="34" t="s">
        <v>39</v>
      </c>
      <c r="D36" s="32" t="s">
        <v>29</v>
      </c>
      <c r="E36" s="32" t="s">
        <v>59</v>
      </c>
      <c r="F36" s="89" t="str">
        <f>C36&amp;E36</f>
        <v>Order Handling ChangesOPEX_INPUT</v>
      </c>
      <c r="G36" s="327">
        <f ca="1">'Independent Cost Inputs'!$G$78</f>
        <v>0.36</v>
      </c>
      <c r="H36" s="327">
        <f ca="1">'Independent Cost Inputs'!$G$78</f>
        <v>0.36</v>
      </c>
      <c r="I36" s="327">
        <f ca="1">'Independent Cost Inputs'!$G$78</f>
        <v>0.36</v>
      </c>
    </row>
    <row r="37" spans="2:13">
      <c r="B37" s="34"/>
      <c r="C37" s="34" t="s">
        <v>39</v>
      </c>
      <c r="D37" s="32" t="s">
        <v>29</v>
      </c>
      <c r="E37" s="32" t="s">
        <v>22</v>
      </c>
      <c r="F37" s="89" t="str">
        <f>C37&amp;E37</f>
        <v>Order Handling ChangesOPEX</v>
      </c>
      <c r="G37" s="120">
        <f ca="1">G35*G36*Switches_Low</f>
        <v>-960.97246409101672</v>
      </c>
      <c r="H37" s="120">
        <f ca="1">H35*H36*Switches_Medium</f>
        <v>-19219.449281820333</v>
      </c>
      <c r="I37" s="120">
        <f ca="1">I35*I36*Switches_High*(1-OnlineSalesPc)</f>
        <v>-281885.25613336492</v>
      </c>
    </row>
    <row r="38" spans="2:13">
      <c r="B38" s="39"/>
      <c r="C38" s="34"/>
      <c r="G38" s="99"/>
      <c r="H38" s="99"/>
      <c r="I38" s="99"/>
    </row>
    <row r="39" spans="2:13">
      <c r="B39" s="39"/>
      <c r="F39" s="89" t="str">
        <f>C39&amp;E39</f>
        <v/>
      </c>
      <c r="G39" s="95"/>
      <c r="H39" s="95"/>
      <c r="I39" s="95"/>
    </row>
    <row r="40" spans="2:13">
      <c r="B40" s="39"/>
      <c r="C40" s="141" t="s">
        <v>618</v>
      </c>
      <c r="D40" s="141"/>
      <c r="E40" s="141"/>
      <c r="F40" s="141"/>
      <c r="G40" s="143"/>
      <c r="H40" s="143"/>
      <c r="I40" s="143"/>
    </row>
    <row r="41" spans="2:13">
      <c r="B41" s="39"/>
      <c r="F41" s="89" t="str">
        <f>C41&amp;E41</f>
        <v/>
      </c>
      <c r="G41" s="95"/>
      <c r="H41" s="95"/>
      <c r="I41" s="95"/>
      <c r="K41" s="32"/>
      <c r="L41" s="32"/>
      <c r="M41" s="32"/>
    </row>
    <row r="42" spans="2:13">
      <c r="B42" s="39"/>
      <c r="C42" s="34" t="s">
        <v>41</v>
      </c>
      <c r="D42" s="32" t="s">
        <v>29</v>
      </c>
      <c r="E42" s="32" t="s">
        <v>22</v>
      </c>
      <c r="F42" s="89" t="str">
        <f>C42&amp;E42</f>
        <v>TPV Process CostsOPEX</v>
      </c>
      <c r="G42" s="120">
        <f ca="1">(((('Independent Cost Inputs'!$G92*Switches_Low)+('Independent Cost Inputs'!$G$95*Switches_Low*'Independent Cost Inputs'!$G$76))*(1-OnlineSalesPc))+(OnlineSalesPc*Switches_Low*'Independent Cost Inputs'!$G$93))*'Independent Cost Inputs'!AI19</f>
        <v>0</v>
      </c>
      <c r="H42" s="120">
        <f ca="1">(((('Independent Cost Inputs'!$G92*Switches_Medium)+('Independent Cost Inputs'!$G$95*Switches_Medium*'Independent Cost Inputs'!$G$76))*(1-OnlineSalesPc))+(OnlineSalesPc*Switches_Medium*'Independent Cost Inputs'!$G$93))*'Independent Cost Inputs'!AJ19</f>
        <v>0</v>
      </c>
      <c r="I42" s="120">
        <f ca="1">(((('Independent Cost Inputs'!$G92*Switches_High)+('Independent Cost Inputs'!$G$95*Switches_High*'Independent Cost Inputs'!$G$76))*(1-OnlineSalesPc))+(OnlineSalesPc*Switches_High*'Independent Cost Inputs'!$G$93))*'Independent Cost Inputs'!AK19</f>
        <v>0</v>
      </c>
      <c r="K42" s="32"/>
      <c r="L42" s="32"/>
      <c r="M42" s="32"/>
    </row>
    <row r="43" spans="2:13">
      <c r="B43" s="39"/>
      <c r="G43" s="95"/>
      <c r="H43" s="95"/>
      <c r="I43" s="95"/>
      <c r="K43" s="32"/>
      <c r="L43" s="32"/>
      <c r="M43" s="32"/>
    </row>
    <row r="44" spans="2:13">
      <c r="B44" s="39"/>
      <c r="G44" s="95"/>
      <c r="H44" s="95"/>
      <c r="I44" s="95"/>
      <c r="K44" s="32"/>
      <c r="L44" s="32"/>
      <c r="M44" s="32"/>
    </row>
    <row r="45" spans="2:13">
      <c r="B45" s="39"/>
      <c r="G45" s="95"/>
      <c r="H45" s="95"/>
      <c r="I45" s="95"/>
    </row>
    <row r="46" spans="2:13">
      <c r="G46" s="95"/>
      <c r="H46" s="95"/>
      <c r="I46" s="95"/>
    </row>
  </sheetData>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sheetPr codeName="Sheet45"/>
  <dimension ref="A2:J83"/>
  <sheetViews>
    <sheetView showGridLines="0" topLeftCell="A34" zoomScale="70" zoomScaleNormal="70" workbookViewId="0">
      <selection activeCell="G17" sqref="G17"/>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89" hidden="1" customWidth="1"/>
    <col min="7" max="9" width="16" style="95" customWidth="1"/>
    <col min="10" max="16384" width="9.140625" style="30"/>
  </cols>
  <sheetData>
    <row r="2" spans="2:10">
      <c r="B2" s="39" t="s">
        <v>0</v>
      </c>
      <c r="C2" s="49" t="str">
        <f ca="1">MID(CELL("filename",A1),FIND("]",CELL("filename",A1))+1,256)</f>
        <v>TPV3 - Systems Workings</v>
      </c>
    </row>
    <row r="3" spans="2:10">
      <c r="B3" s="39" t="s">
        <v>1</v>
      </c>
      <c r="C3" s="32" t="s">
        <v>102</v>
      </c>
    </row>
    <row r="5" spans="2:10" s="51" customFormat="1">
      <c r="B5" s="144" t="s">
        <v>18</v>
      </c>
      <c r="C5" s="52" t="s">
        <v>19</v>
      </c>
      <c r="D5" s="52" t="s">
        <v>20</v>
      </c>
      <c r="E5" s="52" t="s">
        <v>52</v>
      </c>
      <c r="F5" s="90" t="s">
        <v>53</v>
      </c>
      <c r="G5" s="124" t="s">
        <v>228</v>
      </c>
      <c r="H5" s="124" t="s">
        <v>229</v>
      </c>
      <c r="I5" s="124" t="s">
        <v>230</v>
      </c>
    </row>
    <row r="7" spans="2:10">
      <c r="B7" s="144" t="s">
        <v>4</v>
      </c>
      <c r="C7" s="32" t="s">
        <v>21</v>
      </c>
      <c r="G7" s="125">
        <f ca="1">SUMIF($E$11:$E$200,"CAPEX",G11:G200)</f>
        <v>0</v>
      </c>
      <c r="H7" s="125">
        <f t="shared" ref="H7:I7" ca="1" si="0">SUMIF($E$11:$E$200,"CAPEX",H11:H200)</f>
        <v>345000</v>
      </c>
      <c r="I7" s="125">
        <f t="shared" ca="1" si="0"/>
        <v>880000</v>
      </c>
    </row>
    <row r="8" spans="2:10">
      <c r="C8" s="32" t="s">
        <v>22</v>
      </c>
      <c r="G8" s="125">
        <f ca="1">SUMIF($E$11:$E$200,"OPEX",G11:G200)</f>
        <v>0</v>
      </c>
      <c r="H8" s="125">
        <f t="shared" ref="H8:I8" ca="1" si="1">SUMIF($E$11:$E$200,"OPEX",H11:H200)</f>
        <v>69000</v>
      </c>
      <c r="I8" s="125">
        <f t="shared" ca="1" si="1"/>
        <v>176000</v>
      </c>
    </row>
    <row r="9" spans="2:10">
      <c r="B9" s="34"/>
      <c r="C9" s="141" t="s">
        <v>28</v>
      </c>
      <c r="D9" s="141"/>
      <c r="E9" s="141"/>
      <c r="F9" s="142"/>
      <c r="G9" s="143"/>
      <c r="H9" s="143"/>
      <c r="I9" s="143"/>
      <c r="J9" s="31"/>
    </row>
    <row r="10" spans="2:10" s="39" customFormat="1">
      <c r="B10" s="34"/>
      <c r="C10" s="34"/>
      <c r="D10" s="34"/>
      <c r="E10" s="34"/>
      <c r="F10" s="55"/>
      <c r="G10" s="95"/>
      <c r="H10" s="95"/>
      <c r="I10" s="95"/>
      <c r="J10" s="62"/>
    </row>
    <row r="11" spans="2:10">
      <c r="B11" s="34"/>
      <c r="C11" s="32" t="s">
        <v>28</v>
      </c>
      <c r="D11" s="32" t="s">
        <v>56</v>
      </c>
      <c r="E11" s="32" t="s">
        <v>57</v>
      </c>
      <c r="F11" s="89" t="str">
        <f>C11&amp;E11</f>
        <v>CRM ChangesCAPEX_INPUT</v>
      </c>
      <c r="G11" s="96">
        <f>'Independent Cost Inputs'!AI21</f>
        <v>0</v>
      </c>
      <c r="H11" s="96">
        <f>'Independent Cost Inputs'!AJ21</f>
        <v>150</v>
      </c>
      <c r="I11" s="96">
        <f>'Independent Cost Inputs'!AK21</f>
        <v>400</v>
      </c>
      <c r="J11" s="31"/>
    </row>
    <row r="12" spans="2:10">
      <c r="B12" s="34"/>
      <c r="C12" s="32" t="s">
        <v>28</v>
      </c>
      <c r="D12" s="32" t="s">
        <v>29</v>
      </c>
      <c r="E12" s="32" t="s">
        <v>57</v>
      </c>
      <c r="F12" s="89" t="str">
        <f t="shared" ref="F12:F79" si="2">C12&amp;E12</f>
        <v>CRM ChangesCAPEX_INPUT</v>
      </c>
      <c r="G12" s="96">
        <f>'Independent Cost Inputs'!AI22</f>
        <v>0</v>
      </c>
      <c r="H12" s="96">
        <f>'Independent Cost Inputs'!AJ22</f>
        <v>20000</v>
      </c>
      <c r="I12" s="96">
        <f>'Independent Cost Inputs'!AK22</f>
        <v>50000</v>
      </c>
      <c r="J12" s="61"/>
    </row>
    <row r="13" spans="2:10">
      <c r="B13" s="34"/>
      <c r="C13" s="32" t="s">
        <v>28</v>
      </c>
      <c r="D13" s="32" t="s">
        <v>29</v>
      </c>
      <c r="E13" s="32" t="s">
        <v>21</v>
      </c>
      <c r="F13" s="89" t="str">
        <f t="shared" si="2"/>
        <v>CRM ChangesCAPEX</v>
      </c>
      <c r="G13" s="120">
        <f ca="1">(G11*Day_Rate)+G12</f>
        <v>0</v>
      </c>
      <c r="H13" s="120">
        <f ca="1">(H11*Day_Rate)+H12</f>
        <v>95000</v>
      </c>
      <c r="I13" s="120">
        <f ca="1">(I11*Day_Rate)+I12</f>
        <v>250000</v>
      </c>
      <c r="J13" s="31"/>
    </row>
    <row r="14" spans="2:10">
      <c r="B14" s="34"/>
      <c r="F14" s="89" t="str">
        <f t="shared" si="2"/>
        <v/>
      </c>
      <c r="G14" s="97"/>
      <c r="H14" s="97"/>
      <c r="I14" s="97"/>
      <c r="J14" s="31"/>
    </row>
    <row r="15" spans="2:10">
      <c r="B15" s="34"/>
      <c r="C15" s="32" t="s">
        <v>28</v>
      </c>
      <c r="D15" s="32" t="s">
        <v>58</v>
      </c>
      <c r="E15" s="32" t="s">
        <v>59</v>
      </c>
      <c r="F15" s="89" t="str">
        <f t="shared" si="2"/>
        <v>CRM ChangesOPEX_INPUT</v>
      </c>
      <c r="G15" s="98">
        <f ca="1">'Independent Cost Inputs'!AI23</f>
        <v>0.2</v>
      </c>
      <c r="H15" s="98">
        <f ca="1">'Independent Cost Inputs'!AJ23</f>
        <v>0.2</v>
      </c>
      <c r="I15" s="98">
        <f ca="1">'Independent Cost Inputs'!AK23</f>
        <v>0.2</v>
      </c>
      <c r="J15" s="31"/>
    </row>
    <row r="16" spans="2:10">
      <c r="B16" s="34"/>
      <c r="C16" s="32" t="s">
        <v>28</v>
      </c>
      <c r="D16" s="32" t="s">
        <v>29</v>
      </c>
      <c r="E16" s="32" t="s">
        <v>22</v>
      </c>
      <c r="F16" s="89" t="str">
        <f t="shared" si="2"/>
        <v>CRM ChangesOPEX</v>
      </c>
      <c r="G16" s="121">
        <f ca="1">G15*G13</f>
        <v>0</v>
      </c>
      <c r="H16" s="121">
        <f t="shared" ref="H16:I16" ca="1" si="3">H15*H13</f>
        <v>19000</v>
      </c>
      <c r="I16" s="121">
        <f t="shared" ca="1" si="3"/>
        <v>50000</v>
      </c>
      <c r="J16" s="31"/>
    </row>
    <row r="17" spans="1:10">
      <c r="A17" s="42"/>
      <c r="B17" s="34"/>
      <c r="F17" s="89" t="str">
        <f t="shared" si="2"/>
        <v/>
      </c>
    </row>
    <row r="18" spans="1:10">
      <c r="A18" s="42"/>
      <c r="B18" s="34"/>
      <c r="C18" s="141" t="s">
        <v>30</v>
      </c>
      <c r="D18" s="141"/>
      <c r="E18" s="141"/>
      <c r="F18" s="141"/>
      <c r="G18" s="143"/>
      <c r="H18" s="143"/>
      <c r="I18" s="143"/>
    </row>
    <row r="19" spans="1:10">
      <c r="A19" s="42"/>
      <c r="B19" s="34"/>
    </row>
    <row r="20" spans="1:10">
      <c r="A20" s="42"/>
      <c r="B20" s="34"/>
      <c r="C20" s="32" t="s">
        <v>30</v>
      </c>
      <c r="G20" s="96"/>
      <c r="H20" s="96"/>
      <c r="I20" s="96"/>
    </row>
    <row r="21" spans="1:10">
      <c r="A21" s="42"/>
      <c r="B21" s="34"/>
    </row>
    <row r="22" spans="1:10">
      <c r="B22" s="34"/>
      <c r="C22" s="141" t="s">
        <v>31</v>
      </c>
      <c r="D22" s="141"/>
      <c r="E22" s="141"/>
      <c r="F22" s="141"/>
      <c r="G22" s="143"/>
      <c r="H22" s="143"/>
      <c r="I22" s="143"/>
    </row>
    <row r="23" spans="1:10">
      <c r="B23" s="34"/>
      <c r="F23" s="89" t="str">
        <f t="shared" si="2"/>
        <v/>
      </c>
    </row>
    <row r="24" spans="1:10">
      <c r="B24" s="34"/>
      <c r="C24" s="32" t="s">
        <v>31</v>
      </c>
      <c r="D24" s="32" t="s">
        <v>56</v>
      </c>
      <c r="E24" s="32" t="s">
        <v>57</v>
      </c>
      <c r="F24" s="89" t="str">
        <f t="shared" si="2"/>
        <v>Customer Order Management ChangesCAPEX_INPUT</v>
      </c>
      <c r="G24" s="96">
        <f>'Independent Cost Inputs'!AI25</f>
        <v>0</v>
      </c>
      <c r="H24" s="96">
        <f>'Independent Cost Inputs'!AJ25</f>
        <v>160</v>
      </c>
      <c r="I24" s="96">
        <f>'Independent Cost Inputs'!AK25</f>
        <v>300</v>
      </c>
      <c r="J24" s="31"/>
    </row>
    <row r="25" spans="1:10">
      <c r="B25" s="34"/>
      <c r="C25" s="32" t="s">
        <v>31</v>
      </c>
      <c r="D25" s="32" t="s">
        <v>29</v>
      </c>
      <c r="E25" s="32" t="s">
        <v>57</v>
      </c>
      <c r="F25" s="89" t="str">
        <f t="shared" si="2"/>
        <v>Customer Order Management ChangesCAPEX_INPUT</v>
      </c>
      <c r="G25" s="96">
        <f>'Independent Cost Inputs'!AI26</f>
        <v>0</v>
      </c>
      <c r="H25" s="96">
        <f>'Independent Cost Inputs'!AJ26</f>
        <v>20000</v>
      </c>
      <c r="I25" s="96">
        <f>'Independent Cost Inputs'!AK26</f>
        <v>50000</v>
      </c>
      <c r="J25" s="31"/>
    </row>
    <row r="26" spans="1:10">
      <c r="B26" s="34"/>
      <c r="C26" s="32" t="s">
        <v>31</v>
      </c>
      <c r="D26" s="32" t="s">
        <v>29</v>
      </c>
      <c r="E26" s="32" t="s">
        <v>21</v>
      </c>
      <c r="F26" s="89" t="str">
        <f t="shared" si="2"/>
        <v>Customer Order Management ChangesCAPEX</v>
      </c>
      <c r="G26" s="120">
        <f ca="1">(G24*Day_Rate)+G25</f>
        <v>0</v>
      </c>
      <c r="H26" s="120">
        <f ca="1">(H24*Day_Rate)+H25</f>
        <v>100000</v>
      </c>
      <c r="I26" s="120">
        <f ca="1">(I24*Day_Rate)+I25</f>
        <v>200000</v>
      </c>
    </row>
    <row r="27" spans="1:10">
      <c r="B27" s="34"/>
      <c r="F27" s="89" t="str">
        <f t="shared" si="2"/>
        <v/>
      </c>
    </row>
    <row r="28" spans="1:10">
      <c r="B28" s="34"/>
      <c r="C28" s="32" t="s">
        <v>31</v>
      </c>
      <c r="D28" s="32" t="s">
        <v>58</v>
      </c>
      <c r="E28" s="60" t="s">
        <v>59</v>
      </c>
      <c r="F28" s="89" t="str">
        <f t="shared" si="2"/>
        <v>Customer Order Management ChangesOPEX_INPUT</v>
      </c>
      <c r="G28" s="98">
        <f ca="1">'Independent Cost Inputs'!AI27</f>
        <v>0.2</v>
      </c>
      <c r="H28" s="98">
        <f ca="1">'Independent Cost Inputs'!AJ27</f>
        <v>0.2</v>
      </c>
      <c r="I28" s="98">
        <f ca="1">'Independent Cost Inputs'!AK27</f>
        <v>0.2</v>
      </c>
    </row>
    <row r="29" spans="1:10">
      <c r="B29" s="34"/>
      <c r="C29" s="32" t="s">
        <v>31</v>
      </c>
      <c r="D29" s="32" t="s">
        <v>29</v>
      </c>
      <c r="E29" s="32" t="s">
        <v>22</v>
      </c>
      <c r="F29" s="89" t="str">
        <f t="shared" si="2"/>
        <v>Customer Order Management ChangesOPEX</v>
      </c>
      <c r="G29" s="122">
        <f ca="1">G28*G26</f>
        <v>0</v>
      </c>
      <c r="H29" s="122">
        <f t="shared" ref="H29:I29" ca="1" si="4">H28*H26</f>
        <v>20000</v>
      </c>
      <c r="I29" s="122">
        <f t="shared" ca="1" si="4"/>
        <v>40000</v>
      </c>
    </row>
    <row r="30" spans="1:10">
      <c r="B30" s="34"/>
      <c r="G30" s="97"/>
      <c r="H30" s="97"/>
      <c r="I30" s="97"/>
    </row>
    <row r="31" spans="1:10">
      <c r="B31" s="34"/>
      <c r="C31" s="141" t="s">
        <v>32</v>
      </c>
      <c r="D31" s="141"/>
      <c r="E31" s="141"/>
      <c r="F31" s="141"/>
      <c r="G31" s="143"/>
      <c r="H31" s="143"/>
      <c r="I31" s="143"/>
    </row>
    <row r="32" spans="1:10">
      <c r="B32" s="34"/>
      <c r="F32" s="89" t="str">
        <f t="shared" si="2"/>
        <v/>
      </c>
    </row>
    <row r="33" spans="2:10">
      <c r="B33" s="34"/>
      <c r="C33" s="32" t="s">
        <v>32</v>
      </c>
      <c r="D33" s="32" t="s">
        <v>56</v>
      </c>
      <c r="E33" s="32" t="s">
        <v>57</v>
      </c>
      <c r="F33" s="89" t="str">
        <f t="shared" si="2"/>
        <v>Service Order Management ChangesCAPEX_INPUT</v>
      </c>
      <c r="G33" s="96">
        <f>'Independent Cost Inputs'!AI28</f>
        <v>0</v>
      </c>
      <c r="H33" s="96">
        <f>'Independent Cost Inputs'!AJ28</f>
        <v>60</v>
      </c>
      <c r="I33" s="96">
        <f>'Independent Cost Inputs'!AK28</f>
        <v>300</v>
      </c>
      <c r="J33" s="31"/>
    </row>
    <row r="34" spans="2:10">
      <c r="B34" s="34"/>
      <c r="C34" s="32" t="s">
        <v>32</v>
      </c>
      <c r="D34" s="32" t="s">
        <v>29</v>
      </c>
      <c r="E34" s="32" t="s">
        <v>57</v>
      </c>
      <c r="F34" s="89" t="str">
        <f t="shared" si="2"/>
        <v>Service Order Management ChangesCAPEX_INPUT</v>
      </c>
      <c r="G34" s="96">
        <f>'Independent Cost Inputs'!AI29</f>
        <v>0</v>
      </c>
      <c r="H34" s="96">
        <f>'Independent Cost Inputs'!AJ29</f>
        <v>10000</v>
      </c>
      <c r="I34" s="96">
        <f>'Independent Cost Inputs'!AK29</f>
        <v>40000</v>
      </c>
      <c r="J34" s="61"/>
    </row>
    <row r="35" spans="2:10">
      <c r="B35" s="34"/>
      <c r="C35" s="32" t="s">
        <v>32</v>
      </c>
      <c r="D35" s="32" t="s">
        <v>29</v>
      </c>
      <c r="E35" s="32" t="s">
        <v>21</v>
      </c>
      <c r="F35" s="89" t="str">
        <f t="shared" si="2"/>
        <v>Service Order Management ChangesCAPEX</v>
      </c>
      <c r="G35" s="120">
        <f ca="1">(G33*Day_Rate)+G34</f>
        <v>0</v>
      </c>
      <c r="H35" s="120">
        <f ca="1">(H33*Day_Rate)+H34</f>
        <v>40000</v>
      </c>
      <c r="I35" s="120">
        <f ca="1">(I33*Day_Rate)+I34</f>
        <v>190000</v>
      </c>
    </row>
    <row r="36" spans="2:10">
      <c r="B36" s="34"/>
      <c r="F36" s="89" t="str">
        <f t="shared" si="2"/>
        <v/>
      </c>
    </row>
    <row r="37" spans="2:10">
      <c r="B37" s="34"/>
      <c r="C37" s="32" t="s">
        <v>32</v>
      </c>
      <c r="D37" s="32" t="s">
        <v>58</v>
      </c>
      <c r="E37" s="60" t="s">
        <v>59</v>
      </c>
      <c r="F37" s="89" t="str">
        <f t="shared" si="2"/>
        <v>Service Order Management ChangesOPEX_INPUT</v>
      </c>
      <c r="G37" s="98">
        <f ca="1">'Independent Cost Inputs'!AI30</f>
        <v>0.2</v>
      </c>
      <c r="H37" s="98">
        <f ca="1">'Independent Cost Inputs'!AJ30</f>
        <v>0.2</v>
      </c>
      <c r="I37" s="98">
        <f ca="1">'Independent Cost Inputs'!AK30</f>
        <v>0.2</v>
      </c>
    </row>
    <row r="38" spans="2:10">
      <c r="B38" s="34"/>
      <c r="C38" s="32" t="s">
        <v>32</v>
      </c>
      <c r="D38" s="32" t="s">
        <v>29</v>
      </c>
      <c r="E38" s="32" t="s">
        <v>22</v>
      </c>
      <c r="F38" s="89" t="str">
        <f t="shared" si="2"/>
        <v>Service Order Management ChangesOPEX</v>
      </c>
      <c r="G38" s="122">
        <f ca="1">G37*G35</f>
        <v>0</v>
      </c>
      <c r="H38" s="122">
        <f t="shared" ref="H38:I38" ca="1" si="5">H37*H35</f>
        <v>8000</v>
      </c>
      <c r="I38" s="122">
        <f t="shared" ca="1" si="5"/>
        <v>38000</v>
      </c>
    </row>
    <row r="39" spans="2:10">
      <c r="B39" s="34"/>
      <c r="F39" s="89" t="str">
        <f t="shared" si="2"/>
        <v/>
      </c>
    </row>
    <row r="40" spans="2:10">
      <c r="B40" s="34"/>
      <c r="C40" s="141" t="s">
        <v>33</v>
      </c>
      <c r="D40" s="141"/>
      <c r="E40" s="141"/>
      <c r="F40" s="141"/>
      <c r="G40" s="143"/>
      <c r="H40" s="143"/>
      <c r="I40" s="143"/>
      <c r="J40" s="31"/>
    </row>
    <row r="41" spans="2:10">
      <c r="B41" s="34"/>
      <c r="F41" s="89" t="str">
        <f t="shared" si="2"/>
        <v/>
      </c>
      <c r="J41" s="61"/>
    </row>
    <row r="42" spans="2:10">
      <c r="B42" s="34"/>
      <c r="C42" s="32" t="s">
        <v>33</v>
      </c>
      <c r="D42" s="32" t="s">
        <v>56</v>
      </c>
      <c r="E42" s="32" t="s">
        <v>57</v>
      </c>
      <c r="F42" s="89" t="str">
        <f t="shared" si="2"/>
        <v>Partner Management ChangesCAPEX_INPUT</v>
      </c>
      <c r="G42" s="96">
        <f>'Independent Cost Inputs'!AI31</f>
        <v>0</v>
      </c>
      <c r="H42" s="96">
        <f>'Independent Cost Inputs'!AJ31</f>
        <v>70</v>
      </c>
      <c r="I42" s="96">
        <f>'Independent Cost Inputs'!AK31</f>
        <v>150</v>
      </c>
      <c r="J42" s="31"/>
    </row>
    <row r="43" spans="2:10">
      <c r="B43" s="34"/>
      <c r="C43" s="32" t="s">
        <v>33</v>
      </c>
      <c r="D43" s="32" t="s">
        <v>29</v>
      </c>
      <c r="E43" s="32" t="s">
        <v>57</v>
      </c>
      <c r="F43" s="89" t="str">
        <f t="shared" si="2"/>
        <v>Partner Management ChangesCAPEX_INPUT</v>
      </c>
      <c r="G43" s="96">
        <f>'Independent Cost Inputs'!AI32</f>
        <v>0</v>
      </c>
      <c r="H43" s="96">
        <f>'Independent Cost Inputs'!AJ32</f>
        <v>0</v>
      </c>
      <c r="I43" s="96">
        <f>'Independent Cost Inputs'!AK32</f>
        <v>0</v>
      </c>
      <c r="J43" s="61"/>
    </row>
    <row r="44" spans="2:10">
      <c r="B44" s="34"/>
      <c r="C44" s="32" t="s">
        <v>33</v>
      </c>
      <c r="D44" s="32" t="s">
        <v>29</v>
      </c>
      <c r="E44" s="32" t="s">
        <v>21</v>
      </c>
      <c r="F44" s="89" t="str">
        <f t="shared" si="2"/>
        <v>Partner Management ChangesCAPEX</v>
      </c>
      <c r="G44" s="120">
        <f ca="1">(G42*Day_Rate)+G43</f>
        <v>0</v>
      </c>
      <c r="H44" s="120">
        <f ca="1">(H42*Day_Rate)+H43</f>
        <v>35000</v>
      </c>
      <c r="I44" s="120">
        <f ca="1">(I42*Day_Rate)+I43</f>
        <v>75000</v>
      </c>
    </row>
    <row r="45" spans="2:10">
      <c r="B45" s="34"/>
      <c r="F45" s="89" t="str">
        <f t="shared" si="2"/>
        <v/>
      </c>
    </row>
    <row r="46" spans="2:10">
      <c r="B46" s="34"/>
      <c r="C46" s="32" t="s">
        <v>33</v>
      </c>
      <c r="D46" s="32" t="s">
        <v>58</v>
      </c>
      <c r="E46" s="60" t="s">
        <v>59</v>
      </c>
      <c r="F46" s="89" t="str">
        <f t="shared" si="2"/>
        <v>Partner Management ChangesOPEX_INPUT</v>
      </c>
      <c r="G46" s="98">
        <f ca="1">'Independent Cost Inputs'!AI33</f>
        <v>0.2</v>
      </c>
      <c r="H46" s="98">
        <f ca="1">'Independent Cost Inputs'!AJ33</f>
        <v>0.2</v>
      </c>
      <c r="I46" s="98">
        <f ca="1">'Independent Cost Inputs'!AK33</f>
        <v>0.2</v>
      </c>
    </row>
    <row r="47" spans="2:10">
      <c r="B47" s="34"/>
      <c r="C47" s="32" t="s">
        <v>33</v>
      </c>
      <c r="D47" s="32" t="s">
        <v>29</v>
      </c>
      <c r="E47" s="32" t="s">
        <v>22</v>
      </c>
      <c r="F47" s="89" t="str">
        <f t="shared" si="2"/>
        <v>Partner Management ChangesOPEX</v>
      </c>
      <c r="G47" s="122">
        <f ca="1">G46*G44</f>
        <v>0</v>
      </c>
      <c r="H47" s="122">
        <f t="shared" ref="H47:I47" ca="1" si="6">H46*H44</f>
        <v>7000</v>
      </c>
      <c r="I47" s="122">
        <f t="shared" ca="1" si="6"/>
        <v>15000</v>
      </c>
    </row>
    <row r="48" spans="2:10">
      <c r="B48" s="34"/>
      <c r="F48" s="89" t="str">
        <f t="shared" si="2"/>
        <v/>
      </c>
    </row>
    <row r="49" spans="2:10">
      <c r="B49" s="34"/>
      <c r="C49" s="141" t="s">
        <v>34</v>
      </c>
      <c r="D49" s="141"/>
      <c r="E49" s="141"/>
      <c r="F49" s="141"/>
      <c r="G49" s="143"/>
      <c r="H49" s="143"/>
      <c r="I49" s="143"/>
      <c r="J49" s="31"/>
    </row>
    <row r="50" spans="2:10">
      <c r="B50" s="34"/>
      <c r="F50" s="89" t="str">
        <f t="shared" si="2"/>
        <v/>
      </c>
      <c r="J50" s="61"/>
    </row>
    <row r="51" spans="2:10">
      <c r="B51" s="34"/>
      <c r="C51" s="32" t="s">
        <v>34</v>
      </c>
      <c r="D51" s="32" t="s">
        <v>56</v>
      </c>
      <c r="E51" s="32" t="s">
        <v>57</v>
      </c>
      <c r="F51" s="89" t="str">
        <f t="shared" si="2"/>
        <v>Customer Problem Management ChangesCAPEX_INPUT</v>
      </c>
      <c r="G51" s="96">
        <f>'Independent Cost Inputs'!AI34</f>
        <v>0</v>
      </c>
      <c r="H51" s="96">
        <f>'Independent Cost Inputs'!AJ34</f>
        <v>70</v>
      </c>
      <c r="I51" s="96">
        <f>'Independent Cost Inputs'!AK34</f>
        <v>150</v>
      </c>
      <c r="J51" s="31"/>
    </row>
    <row r="52" spans="2:10">
      <c r="B52" s="34"/>
      <c r="C52" s="32" t="s">
        <v>34</v>
      </c>
      <c r="D52" s="32" t="s">
        <v>29</v>
      </c>
      <c r="E52" s="32" t="s">
        <v>57</v>
      </c>
      <c r="F52" s="89" t="str">
        <f t="shared" si="2"/>
        <v>Customer Problem Management ChangesCAPEX_INPUT</v>
      </c>
      <c r="G52" s="96">
        <f>'Independent Cost Inputs'!AI35</f>
        <v>0</v>
      </c>
      <c r="H52" s="96">
        <f>'Independent Cost Inputs'!AJ35</f>
        <v>0</v>
      </c>
      <c r="I52" s="96">
        <f>'Independent Cost Inputs'!AK35</f>
        <v>0</v>
      </c>
      <c r="J52" s="61"/>
    </row>
    <row r="53" spans="2:10">
      <c r="B53" s="34"/>
      <c r="C53" s="32" t="s">
        <v>34</v>
      </c>
      <c r="D53" s="32" t="s">
        <v>29</v>
      </c>
      <c r="E53" s="32" t="s">
        <v>21</v>
      </c>
      <c r="F53" s="89" t="str">
        <f t="shared" si="2"/>
        <v>Customer Problem Management ChangesCAPEX</v>
      </c>
      <c r="G53" s="120">
        <f ca="1">(G51*Day_Rate)+G52</f>
        <v>0</v>
      </c>
      <c r="H53" s="120">
        <f ca="1">(H51*Day_Rate)+H52</f>
        <v>35000</v>
      </c>
      <c r="I53" s="120">
        <f ca="1">(I51*Day_Rate)+I52</f>
        <v>75000</v>
      </c>
    </row>
    <row r="54" spans="2:10">
      <c r="B54" s="34"/>
      <c r="F54" s="89" t="str">
        <f t="shared" si="2"/>
        <v/>
      </c>
    </row>
    <row r="55" spans="2:10">
      <c r="B55" s="34"/>
      <c r="C55" s="32" t="s">
        <v>34</v>
      </c>
      <c r="D55" s="32" t="s">
        <v>58</v>
      </c>
      <c r="E55" s="60" t="s">
        <v>59</v>
      </c>
      <c r="F55" s="89" t="str">
        <f t="shared" si="2"/>
        <v>Customer Problem Management ChangesOPEX_INPUT</v>
      </c>
      <c r="G55" s="98">
        <f ca="1">'Independent Cost Inputs'!AI36</f>
        <v>0.2</v>
      </c>
      <c r="H55" s="98">
        <f ca="1">'Independent Cost Inputs'!AJ36</f>
        <v>0.2</v>
      </c>
      <c r="I55" s="98">
        <f ca="1">'Independent Cost Inputs'!AK36</f>
        <v>0.2</v>
      </c>
    </row>
    <row r="56" spans="2:10">
      <c r="B56" s="34"/>
      <c r="C56" s="32" t="s">
        <v>34</v>
      </c>
      <c r="D56" s="32" t="s">
        <v>29</v>
      </c>
      <c r="E56" s="32" t="s">
        <v>22</v>
      </c>
      <c r="F56" s="89" t="str">
        <f t="shared" si="2"/>
        <v>Customer Problem Management ChangesOPEX</v>
      </c>
      <c r="G56" s="122">
        <f ca="1">G55*G53</f>
        <v>0</v>
      </c>
      <c r="H56" s="122">
        <f t="shared" ref="H56:I56" ca="1" si="7">H55*H53</f>
        <v>7000</v>
      </c>
      <c r="I56" s="122">
        <f t="shared" ca="1" si="7"/>
        <v>15000</v>
      </c>
    </row>
    <row r="57" spans="2:10">
      <c r="B57" s="34"/>
      <c r="F57" s="89" t="str">
        <f t="shared" si="2"/>
        <v/>
      </c>
    </row>
    <row r="58" spans="2:10">
      <c r="B58" s="34"/>
      <c r="C58" s="141" t="s">
        <v>35</v>
      </c>
      <c r="D58" s="141"/>
      <c r="E58" s="141"/>
      <c r="F58" s="141"/>
      <c r="G58" s="143"/>
      <c r="H58" s="143"/>
      <c r="I58" s="143"/>
      <c r="J58" s="31"/>
    </row>
    <row r="59" spans="2:10">
      <c r="B59" s="34"/>
      <c r="F59" s="89" t="str">
        <f t="shared" si="2"/>
        <v/>
      </c>
      <c r="J59" s="61"/>
    </row>
    <row r="60" spans="2:10">
      <c r="B60" s="34"/>
      <c r="C60" s="32" t="s">
        <v>35</v>
      </c>
      <c r="D60" s="32" t="s">
        <v>56</v>
      </c>
      <c r="E60" s="32" t="s">
        <v>57</v>
      </c>
      <c r="F60" s="89" t="str">
        <f t="shared" si="2"/>
        <v>Service Problem Management ChangesCAPEX_INPUT</v>
      </c>
      <c r="G60" s="96">
        <f>'Independent Cost Inputs'!AI37</f>
        <v>0</v>
      </c>
      <c r="H60" s="96">
        <f>'Independent Cost Inputs'!AJ37</f>
        <v>20</v>
      </c>
      <c r="I60" s="96">
        <f>'Independent Cost Inputs'!AK37</f>
        <v>60</v>
      </c>
    </row>
    <row r="61" spans="2:10">
      <c r="B61" s="34"/>
      <c r="C61" s="32" t="s">
        <v>35</v>
      </c>
      <c r="D61" s="32" t="s">
        <v>29</v>
      </c>
      <c r="E61" s="32" t="s">
        <v>57</v>
      </c>
      <c r="F61" s="89" t="str">
        <f t="shared" si="2"/>
        <v>Service Problem Management ChangesCAPEX_INPUT</v>
      </c>
      <c r="G61" s="96">
        <f>'Independent Cost Inputs'!AI38</f>
        <v>0</v>
      </c>
      <c r="H61" s="96">
        <f>'Independent Cost Inputs'!AJ38</f>
        <v>0</v>
      </c>
      <c r="I61" s="96">
        <f>'Independent Cost Inputs'!AK38</f>
        <v>0</v>
      </c>
    </row>
    <row r="62" spans="2:10">
      <c r="B62" s="34"/>
      <c r="C62" s="32" t="s">
        <v>35</v>
      </c>
      <c r="D62" s="32" t="s">
        <v>29</v>
      </c>
      <c r="E62" s="32" t="s">
        <v>21</v>
      </c>
      <c r="F62" s="89" t="str">
        <f t="shared" si="2"/>
        <v>Service Problem Management ChangesCAPEX</v>
      </c>
      <c r="G62" s="120">
        <f ca="1">(G60*Day_Rate)+G61</f>
        <v>0</v>
      </c>
      <c r="H62" s="120">
        <f ca="1">(H60*Day_Rate)+H61</f>
        <v>10000</v>
      </c>
      <c r="I62" s="120">
        <f ca="1">(I60*Day_Rate)+I61</f>
        <v>30000</v>
      </c>
    </row>
    <row r="63" spans="2:10">
      <c r="B63" s="34"/>
      <c r="F63" s="89" t="str">
        <f t="shared" si="2"/>
        <v/>
      </c>
    </row>
    <row r="64" spans="2:10">
      <c r="B64" s="34"/>
      <c r="C64" s="32" t="s">
        <v>35</v>
      </c>
      <c r="D64" s="32" t="s">
        <v>58</v>
      </c>
      <c r="E64" s="60" t="s">
        <v>59</v>
      </c>
      <c r="F64" s="89" t="str">
        <f t="shared" si="2"/>
        <v>Service Problem Management ChangesOPEX_INPUT</v>
      </c>
      <c r="G64" s="98">
        <f ca="1">'Independent Cost Inputs'!AI39</f>
        <v>0.2</v>
      </c>
      <c r="H64" s="98">
        <f ca="1">'Independent Cost Inputs'!AJ39</f>
        <v>0.2</v>
      </c>
      <c r="I64" s="98">
        <f ca="1">'Independent Cost Inputs'!AK39</f>
        <v>0.2</v>
      </c>
    </row>
    <row r="65" spans="2:9">
      <c r="B65" s="34"/>
      <c r="C65" s="32" t="s">
        <v>35</v>
      </c>
      <c r="D65" s="32" t="s">
        <v>29</v>
      </c>
      <c r="E65" s="32" t="s">
        <v>22</v>
      </c>
      <c r="F65" s="89" t="str">
        <f t="shared" si="2"/>
        <v>Service Problem Management ChangesOPEX</v>
      </c>
      <c r="G65" s="120">
        <f ca="1">G64*G62</f>
        <v>0</v>
      </c>
      <c r="H65" s="120">
        <f ca="1">H64*H62</f>
        <v>2000</v>
      </c>
      <c r="I65" s="120">
        <f ca="1">I64*I62</f>
        <v>6000</v>
      </c>
    </row>
    <row r="66" spans="2:9">
      <c r="F66" s="89" t="str">
        <f t="shared" si="2"/>
        <v/>
      </c>
    </row>
    <row r="67" spans="2:9">
      <c r="C67" s="141" t="s">
        <v>312</v>
      </c>
      <c r="D67" s="141"/>
      <c r="E67" s="141"/>
      <c r="F67" s="141"/>
      <c r="G67" s="143"/>
      <c r="H67" s="143"/>
      <c r="I67" s="143"/>
    </row>
    <row r="68" spans="2:9">
      <c r="F68" s="89" t="str">
        <f t="shared" si="2"/>
        <v/>
      </c>
    </row>
    <row r="69" spans="2:9">
      <c r="C69" s="32" t="s">
        <v>312</v>
      </c>
      <c r="D69" s="32" t="s">
        <v>56</v>
      </c>
      <c r="E69" s="32" t="s">
        <v>57</v>
      </c>
      <c r="F69" s="89" t="str">
        <f t="shared" si="2"/>
        <v>Transactional Document ProductionCAPEX_INPUT</v>
      </c>
      <c r="G69" s="96">
        <f>'Independent Cost Inputs'!AI40</f>
        <v>0</v>
      </c>
      <c r="H69" s="96">
        <f>'Independent Cost Inputs'!AJ40</f>
        <v>0</v>
      </c>
      <c r="I69" s="96">
        <f>'Independent Cost Inputs'!AK40</f>
        <v>0</v>
      </c>
    </row>
    <row r="70" spans="2:9">
      <c r="C70" s="32" t="s">
        <v>312</v>
      </c>
      <c r="D70" s="32" t="s">
        <v>29</v>
      </c>
      <c r="E70" s="32" t="s">
        <v>57</v>
      </c>
      <c r="F70" s="89" t="str">
        <f t="shared" si="2"/>
        <v>Transactional Document ProductionCAPEX_INPUT</v>
      </c>
      <c r="G70" s="96">
        <f>'Independent Cost Inputs'!AI41</f>
        <v>0</v>
      </c>
      <c r="H70" s="96">
        <f>'Independent Cost Inputs'!AJ41</f>
        <v>0</v>
      </c>
      <c r="I70" s="96">
        <f>'Independent Cost Inputs'!AK41</f>
        <v>0</v>
      </c>
    </row>
    <row r="71" spans="2:9">
      <c r="C71" s="32" t="s">
        <v>312</v>
      </c>
      <c r="D71" s="32" t="s">
        <v>29</v>
      </c>
      <c r="E71" s="32" t="s">
        <v>21</v>
      </c>
      <c r="F71" s="89" t="str">
        <f t="shared" si="2"/>
        <v>Transactional Document ProductionCAPEX</v>
      </c>
      <c r="G71" s="120">
        <f ca="1">(G69*Day_Rate)+G70</f>
        <v>0</v>
      </c>
      <c r="H71" s="120">
        <f ca="1">(H69*Day_Rate)+H70</f>
        <v>0</v>
      </c>
      <c r="I71" s="120">
        <f ca="1">(I69*Day_Rate)+I70</f>
        <v>0</v>
      </c>
    </row>
    <row r="72" spans="2:9">
      <c r="F72" s="89" t="str">
        <f t="shared" si="2"/>
        <v/>
      </c>
    </row>
    <row r="73" spans="2:9">
      <c r="C73" s="32" t="s">
        <v>312</v>
      </c>
      <c r="D73" s="32" t="s">
        <v>58</v>
      </c>
      <c r="E73" s="60" t="s">
        <v>59</v>
      </c>
      <c r="F73" s="89" t="str">
        <f t="shared" si="2"/>
        <v>Transactional Document ProductionOPEX_INPUT</v>
      </c>
      <c r="G73" s="98">
        <f>'Independent Cost Inputs'!AI42</f>
        <v>0</v>
      </c>
      <c r="H73" s="98">
        <f>'Independent Cost Inputs'!AJ42</f>
        <v>0</v>
      </c>
      <c r="I73" s="98">
        <f>'Independent Cost Inputs'!AK42</f>
        <v>0</v>
      </c>
    </row>
    <row r="74" spans="2:9">
      <c r="C74" s="32" t="s">
        <v>312</v>
      </c>
      <c r="D74" s="32" t="s">
        <v>29</v>
      </c>
      <c r="E74" s="32" t="s">
        <v>22</v>
      </c>
      <c r="F74" s="89" t="str">
        <f t="shared" si="2"/>
        <v>Transactional Document ProductionOPEX</v>
      </c>
      <c r="G74" s="120">
        <f ca="1">G73*G71</f>
        <v>0</v>
      </c>
      <c r="H74" s="120">
        <f ca="1">H73*H71</f>
        <v>0</v>
      </c>
      <c r="I74" s="120">
        <f ca="1">I73*I71</f>
        <v>0</v>
      </c>
    </row>
    <row r="75" spans="2:9">
      <c r="F75" s="89" t="str">
        <f t="shared" si="2"/>
        <v/>
      </c>
    </row>
    <row r="76" spans="2:9">
      <c r="C76" s="141" t="s">
        <v>313</v>
      </c>
      <c r="D76" s="141"/>
      <c r="E76" s="141"/>
      <c r="F76" s="141"/>
      <c r="G76" s="143"/>
      <c r="H76" s="143"/>
      <c r="I76" s="143"/>
    </row>
    <row r="77" spans="2:9">
      <c r="F77" s="89" t="str">
        <f t="shared" si="2"/>
        <v/>
      </c>
    </row>
    <row r="78" spans="2:9">
      <c r="C78" s="32" t="s">
        <v>313</v>
      </c>
      <c r="D78" s="32" t="s">
        <v>56</v>
      </c>
      <c r="E78" s="32" t="s">
        <v>57</v>
      </c>
      <c r="F78" s="89" t="str">
        <f t="shared" si="2"/>
        <v>Customer Self ManagementCAPEX_INPUT</v>
      </c>
      <c r="G78" s="96">
        <f>'Independent Cost Inputs'!AI43</f>
        <v>0</v>
      </c>
      <c r="H78" s="96">
        <f>'Independent Cost Inputs'!AJ43</f>
        <v>60</v>
      </c>
      <c r="I78" s="96">
        <f>'Independent Cost Inputs'!AK43</f>
        <v>120</v>
      </c>
    </row>
    <row r="79" spans="2:9">
      <c r="C79" s="32" t="s">
        <v>313</v>
      </c>
      <c r="D79" s="32" t="s">
        <v>29</v>
      </c>
      <c r="E79" s="32" t="s">
        <v>57</v>
      </c>
      <c r="F79" s="89" t="str">
        <f t="shared" si="2"/>
        <v>Customer Self ManagementCAPEX_INPUT</v>
      </c>
      <c r="G79" s="96">
        <f>'Independent Cost Inputs'!AI44</f>
        <v>0</v>
      </c>
      <c r="H79" s="96">
        <f>'Independent Cost Inputs'!AJ44</f>
        <v>0</v>
      </c>
      <c r="I79" s="96">
        <f>'Independent Cost Inputs'!AK44</f>
        <v>0</v>
      </c>
    </row>
    <row r="80" spans="2:9">
      <c r="C80" s="32" t="s">
        <v>313</v>
      </c>
      <c r="D80" s="32" t="s">
        <v>29</v>
      </c>
      <c r="E80" s="32" t="s">
        <v>21</v>
      </c>
      <c r="F80" s="89" t="str">
        <f t="shared" ref="F80:F83" si="8">C80&amp;E80</f>
        <v>Customer Self ManagementCAPEX</v>
      </c>
      <c r="G80" s="120">
        <f ca="1">(G78*Day_Rate)+G79</f>
        <v>0</v>
      </c>
      <c r="H80" s="120">
        <f ca="1">(H78*Day_Rate)+H79</f>
        <v>30000</v>
      </c>
      <c r="I80" s="120">
        <f ca="1">(I78*Day_Rate)+I79</f>
        <v>60000</v>
      </c>
    </row>
    <row r="81" spans="3:9">
      <c r="F81" s="89" t="str">
        <f t="shared" si="8"/>
        <v/>
      </c>
    </row>
    <row r="82" spans="3:9">
      <c r="C82" s="32" t="s">
        <v>313</v>
      </c>
      <c r="D82" s="32" t="s">
        <v>58</v>
      </c>
      <c r="E82" s="60" t="s">
        <v>59</v>
      </c>
      <c r="F82" s="89" t="str">
        <f t="shared" si="8"/>
        <v>Customer Self ManagementOPEX_INPUT</v>
      </c>
      <c r="G82" s="98">
        <f ca="1">'Independent Cost Inputs'!AI45</f>
        <v>0.2</v>
      </c>
      <c r="H82" s="98">
        <f ca="1">'Independent Cost Inputs'!AJ45</f>
        <v>0.2</v>
      </c>
      <c r="I82" s="98">
        <f ca="1">'Independent Cost Inputs'!AK45</f>
        <v>0.2</v>
      </c>
    </row>
    <row r="83" spans="3:9">
      <c r="C83" s="32" t="s">
        <v>313</v>
      </c>
      <c r="D83" s="32" t="s">
        <v>29</v>
      </c>
      <c r="E83" s="32" t="s">
        <v>22</v>
      </c>
      <c r="F83" s="89" t="str">
        <f t="shared" si="8"/>
        <v>Customer Self ManagementOPEX</v>
      </c>
      <c r="G83" s="120">
        <f ca="1">G82*G80</f>
        <v>0</v>
      </c>
      <c r="H83" s="120">
        <f ca="1">H82*H80</f>
        <v>6000</v>
      </c>
      <c r="I83" s="120">
        <f ca="1">I82*I80</f>
        <v>12000</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codeName="Sheet46"/>
  <dimension ref="A2:L122"/>
  <sheetViews>
    <sheetView showGridLines="0" topLeftCell="C1" zoomScale="70" zoomScaleNormal="70" workbookViewId="0">
      <selection activeCell="F1" sqref="F1:F1048576"/>
    </sheetView>
  </sheetViews>
  <sheetFormatPr defaultColWidth="9.140625" defaultRowHeight="12.75"/>
  <cols>
    <col min="1" max="1" width="3.5703125" style="30" customWidth="1"/>
    <col min="2" max="2" width="9.140625" style="39"/>
    <col min="3" max="3" width="34" style="32" customWidth="1"/>
    <col min="4" max="4" width="10" style="32" customWidth="1"/>
    <col min="5" max="5" width="15.42578125" style="32" customWidth="1"/>
    <col min="6" max="6" width="19.5703125" style="89" hidden="1" customWidth="1"/>
    <col min="7" max="9" width="16" style="32" customWidth="1"/>
    <col min="10" max="16384" width="9.140625" style="30"/>
  </cols>
  <sheetData>
    <row r="2" spans="2:9">
      <c r="B2" s="39" t="s">
        <v>0</v>
      </c>
      <c r="C2" s="49" t="str">
        <f ca="1">MID(CELL("filename",A1),FIND("]",CELL("filename",A1))+1,256)</f>
        <v>TPV3 - Central Costs</v>
      </c>
    </row>
    <row r="3" spans="2:9">
      <c r="B3" s="39" t="s">
        <v>1</v>
      </c>
      <c r="C3" s="89" t="s">
        <v>67</v>
      </c>
    </row>
    <row r="5" spans="2:9" s="51" customFormat="1">
      <c r="B5" s="51" t="s">
        <v>18</v>
      </c>
      <c r="C5" s="52" t="s">
        <v>19</v>
      </c>
      <c r="D5" s="52" t="s">
        <v>20</v>
      </c>
      <c r="E5" s="52" t="s">
        <v>52</v>
      </c>
      <c r="F5" s="90" t="s">
        <v>53</v>
      </c>
      <c r="G5" s="124" t="s">
        <v>50</v>
      </c>
      <c r="H5" s="124" t="s">
        <v>131</v>
      </c>
      <c r="I5" s="124" t="s">
        <v>23</v>
      </c>
    </row>
    <row r="7" spans="2:9">
      <c r="B7" s="144" t="s">
        <v>4</v>
      </c>
      <c r="C7" s="32" t="s">
        <v>21</v>
      </c>
      <c r="G7" s="125">
        <f ca="1">SUMIF($E$11:$E$201,"CAPEX",G11:G201)</f>
        <v>1390000</v>
      </c>
      <c r="H7" s="125">
        <f t="shared" ref="H7:I7" ca="1" si="0">SUMIF($E$11:$E$201,"CAPEX",H11:H201)</f>
        <v>1690000</v>
      </c>
      <c r="I7" s="125">
        <f t="shared" ca="1" si="0"/>
        <v>2087500</v>
      </c>
    </row>
    <row r="8" spans="2:9">
      <c r="C8" s="32" t="s">
        <v>22</v>
      </c>
      <c r="G8" s="125">
        <f ca="1">SUMIF($E$11:$E$201,"OPEX",G11:G201)</f>
        <v>685000</v>
      </c>
      <c r="H8" s="125">
        <f t="shared" ref="H8:I8" ca="1" si="1">SUMIF($E$11:$E$201,"OPEX",H11:H201)</f>
        <v>1005000</v>
      </c>
      <c r="I8" s="125">
        <f t="shared" ca="1" si="1"/>
        <v>1451250</v>
      </c>
    </row>
    <row r="9" spans="2:9">
      <c r="B9" s="34"/>
      <c r="C9" s="141" t="s">
        <v>42</v>
      </c>
      <c r="D9" s="141"/>
      <c r="E9" s="141"/>
      <c r="F9" s="142"/>
      <c r="G9" s="141"/>
      <c r="H9" s="141"/>
      <c r="I9" s="141"/>
    </row>
    <row r="10" spans="2:9" s="39" customFormat="1">
      <c r="C10" s="34"/>
      <c r="D10" s="34"/>
      <c r="E10" s="34"/>
      <c r="F10" s="55"/>
      <c r="G10" s="34"/>
      <c r="H10" s="34"/>
      <c r="I10" s="34"/>
    </row>
    <row r="11" spans="2:9">
      <c r="C11" s="32" t="s">
        <v>42</v>
      </c>
      <c r="D11" s="32" t="s">
        <v>56</v>
      </c>
      <c r="E11" s="32" t="s">
        <v>57</v>
      </c>
      <c r="F11" s="89" t="str">
        <f t="shared" ref="F11:F17" si="2">C11&amp;E11</f>
        <v>Hub System CostsCAPEX_INPUT</v>
      </c>
      <c r="G11" s="96">
        <f>'Independent Cost Inputs'!AI54</f>
        <v>1700</v>
      </c>
      <c r="H11" s="96">
        <f>'Independent Cost Inputs'!AJ54</f>
        <v>2000</v>
      </c>
      <c r="I11" s="96">
        <f>'Independent Cost Inputs'!AK54</f>
        <v>2500</v>
      </c>
    </row>
    <row r="12" spans="2:9">
      <c r="C12" s="32" t="s">
        <v>42</v>
      </c>
      <c r="D12" s="32" t="s">
        <v>29</v>
      </c>
      <c r="E12" s="32" t="s">
        <v>57</v>
      </c>
      <c r="F12" s="89" t="str">
        <f t="shared" si="2"/>
        <v>Hub System CostsCAPEX_INPUT</v>
      </c>
      <c r="G12" s="96">
        <f>'Independent Cost Inputs'!AI55</f>
        <v>150000</v>
      </c>
      <c r="H12" s="96">
        <f>'Independent Cost Inputs'!AJ55</f>
        <v>200000</v>
      </c>
      <c r="I12" s="96">
        <f>'Independent Cost Inputs'!AK55</f>
        <v>225000</v>
      </c>
    </row>
    <row r="13" spans="2:9">
      <c r="C13" s="32" t="s">
        <v>42</v>
      </c>
      <c r="D13" s="32" t="s">
        <v>29</v>
      </c>
      <c r="E13" s="32" t="s">
        <v>21</v>
      </c>
      <c r="F13" s="89" t="str">
        <f t="shared" si="2"/>
        <v>Hub System CostsCAPEX</v>
      </c>
      <c r="G13" s="120">
        <f ca="1">(G11*Day_Rate)+G12</f>
        <v>1000000</v>
      </c>
      <c r="H13" s="120">
        <f ca="1">(H11*Day_Rate)+H12</f>
        <v>1200000</v>
      </c>
      <c r="I13" s="120">
        <f ca="1">(I11*Day_Rate)+I12</f>
        <v>1475000</v>
      </c>
    </row>
    <row r="14" spans="2:9">
      <c r="F14" s="89" t="str">
        <f t="shared" si="2"/>
        <v/>
      </c>
      <c r="G14" s="97"/>
      <c r="H14" s="97"/>
      <c r="I14" s="97"/>
    </row>
    <row r="15" spans="2:9">
      <c r="C15" s="32" t="s">
        <v>42</v>
      </c>
      <c r="D15" s="32" t="s">
        <v>58</v>
      </c>
      <c r="E15" s="32" t="s">
        <v>59</v>
      </c>
      <c r="F15" s="89" t="str">
        <f t="shared" si="2"/>
        <v>Hub System CostsOPEX_INPUT</v>
      </c>
      <c r="G15" s="98">
        <f>'Independent Cost Inputs'!AI56</f>
        <v>0.1</v>
      </c>
      <c r="H15" s="98">
        <f ca="1">'Independent Cost Inputs'!AJ56</f>
        <v>0.2</v>
      </c>
      <c r="I15" s="98">
        <f>'Independent Cost Inputs'!AK56</f>
        <v>0.2</v>
      </c>
    </row>
    <row r="16" spans="2:9">
      <c r="C16" s="32" t="s">
        <v>42</v>
      </c>
      <c r="D16" s="32" t="s">
        <v>29</v>
      </c>
      <c r="E16" s="32" t="s">
        <v>22</v>
      </c>
      <c r="F16" s="89" t="str">
        <f t="shared" si="2"/>
        <v>Hub System CostsOPEX</v>
      </c>
      <c r="G16" s="121">
        <f ca="1">G15*G13</f>
        <v>100000</v>
      </c>
      <c r="H16" s="121">
        <f ca="1">H15*H13</f>
        <v>240000</v>
      </c>
      <c r="I16" s="121">
        <f ca="1">I15*I13</f>
        <v>295000</v>
      </c>
    </row>
    <row r="17" spans="1:9">
      <c r="A17" s="42"/>
      <c r="B17" s="42"/>
      <c r="F17" s="89" t="str">
        <f t="shared" si="2"/>
        <v/>
      </c>
      <c r="G17" s="95"/>
      <c r="H17" s="95"/>
      <c r="I17" s="95"/>
    </row>
    <row r="18" spans="1:9">
      <c r="A18" s="42"/>
      <c r="B18" s="42"/>
      <c r="C18" s="141" t="s">
        <v>45</v>
      </c>
      <c r="D18" s="141"/>
      <c r="E18" s="141"/>
      <c r="F18" s="142"/>
      <c r="G18" s="141"/>
      <c r="H18" s="141"/>
      <c r="I18" s="141"/>
    </row>
    <row r="19" spans="1:9">
      <c r="A19" s="42"/>
      <c r="B19" s="42"/>
      <c r="G19" s="95"/>
      <c r="H19" s="95"/>
      <c r="I19" s="95"/>
    </row>
    <row r="20" spans="1:9">
      <c r="A20" s="42"/>
      <c r="B20" s="42"/>
      <c r="C20" s="34" t="s">
        <v>45</v>
      </c>
      <c r="D20" s="32" t="s">
        <v>61</v>
      </c>
      <c r="E20" s="32" t="s">
        <v>62</v>
      </c>
      <c r="F20" s="89" t="str">
        <f>C20&amp;E20</f>
        <v>Hub Process CostsCAPEX _INPUT</v>
      </c>
      <c r="G20" s="116">
        <f>'Independent Cost Inputs'!AI57</f>
        <v>15</v>
      </c>
      <c r="H20" s="116">
        <f>'Independent Cost Inputs'!AJ57</f>
        <v>20</v>
      </c>
      <c r="I20" s="116">
        <f>'Independent Cost Inputs'!AK57</f>
        <v>20</v>
      </c>
    </row>
    <row r="21" spans="1:9">
      <c r="A21" s="42"/>
      <c r="B21" s="42"/>
      <c r="C21" s="34" t="s">
        <v>45</v>
      </c>
      <c r="D21" s="32" t="s">
        <v>61</v>
      </c>
      <c r="E21" s="32" t="s">
        <v>62</v>
      </c>
      <c r="G21" s="116">
        <f>'Independent Cost Inputs'!H58</f>
        <v>10</v>
      </c>
      <c r="H21" s="116">
        <f>'Independent Cost Inputs'!I58</f>
        <v>10</v>
      </c>
      <c r="I21" s="116">
        <f>'Independent Cost Inputs'!J58</f>
        <v>15</v>
      </c>
    </row>
    <row r="22" spans="1:9">
      <c r="C22" s="34" t="s">
        <v>45</v>
      </c>
      <c r="D22" s="32" t="s">
        <v>29</v>
      </c>
      <c r="E22" s="32" t="s">
        <v>21</v>
      </c>
      <c r="F22" s="89" t="str">
        <f>C22&amp;E22</f>
        <v>Hub Process CostsCAPEX</v>
      </c>
      <c r="G22" s="120">
        <f ca="1">G20*Day_Rate*G21</f>
        <v>75000</v>
      </c>
      <c r="H22" s="120">
        <f ca="1">H20*Day_Rate*H21</f>
        <v>100000</v>
      </c>
      <c r="I22" s="120">
        <f ca="1">I20*Day_Rate*I21</f>
        <v>150000</v>
      </c>
    </row>
    <row r="23" spans="1:9">
      <c r="F23" s="89" t="str">
        <f>C23&amp;E23</f>
        <v/>
      </c>
      <c r="G23" s="95"/>
      <c r="H23" s="95"/>
      <c r="I23" s="95"/>
    </row>
    <row r="24" spans="1:9">
      <c r="C24" s="34" t="s">
        <v>45</v>
      </c>
      <c r="D24" s="32" t="s">
        <v>58</v>
      </c>
      <c r="E24" s="60" t="s">
        <v>59</v>
      </c>
      <c r="F24" s="89" t="str">
        <f>C24&amp;E24</f>
        <v>Hub Process CostsOPEX_INPUT</v>
      </c>
      <c r="G24" s="119">
        <f>'Independent Cost Inputs'!AI59</f>
        <v>0.5</v>
      </c>
      <c r="H24" s="119">
        <f>'Independent Cost Inputs'!AJ59</f>
        <v>0.5</v>
      </c>
      <c r="I24" s="119">
        <f>'Independent Cost Inputs'!AK59</f>
        <v>0.7</v>
      </c>
    </row>
    <row r="25" spans="1:9">
      <c r="C25" s="34" t="s">
        <v>45</v>
      </c>
      <c r="D25" s="32" t="s">
        <v>29</v>
      </c>
      <c r="E25" s="32" t="s">
        <v>22</v>
      </c>
      <c r="F25" s="89" t="str">
        <f>C25&amp;E25</f>
        <v>Hub Process CostsOPEX</v>
      </c>
      <c r="G25" s="120">
        <f ca="1">G20*G24*FTE_Cost</f>
        <v>450000</v>
      </c>
      <c r="H25" s="120">
        <f ca="1">H20*H24*FTE_Cost</f>
        <v>600000</v>
      </c>
      <c r="I25" s="120">
        <f ca="1">I20*I24*FTE_Cost</f>
        <v>840000</v>
      </c>
    </row>
    <row r="27" spans="1:9">
      <c r="C27" s="141" t="s">
        <v>44</v>
      </c>
      <c r="D27" s="141"/>
      <c r="E27" s="141" t="s">
        <v>54</v>
      </c>
      <c r="F27" s="142" t="s">
        <v>64</v>
      </c>
      <c r="G27" s="141"/>
      <c r="H27" s="141"/>
      <c r="I27" s="141"/>
    </row>
    <row r="28" spans="1:9">
      <c r="F28" s="89" t="str">
        <f t="shared" ref="F28:F43" si="3">C28&amp;E28</f>
        <v/>
      </c>
      <c r="G28" s="95"/>
      <c r="H28" s="95"/>
      <c r="I28" s="95"/>
    </row>
    <row r="29" spans="1:9">
      <c r="C29" s="32" t="s">
        <v>44</v>
      </c>
      <c r="D29" s="32" t="s">
        <v>56</v>
      </c>
      <c r="E29" s="32" t="s">
        <v>57</v>
      </c>
      <c r="F29" s="89" t="str">
        <f t="shared" si="3"/>
        <v>CCS System CostsCAPEX_INPUT</v>
      </c>
      <c r="G29" s="117">
        <f>'Independent Cost Inputs'!AI60</f>
        <v>400</v>
      </c>
      <c r="H29" s="117">
        <f>'Independent Cost Inputs'!AJ60</f>
        <v>500</v>
      </c>
      <c r="I29" s="117">
        <f>'Independent Cost Inputs'!AK60</f>
        <v>550</v>
      </c>
    </row>
    <row r="30" spans="1:9">
      <c r="C30" s="32" t="s">
        <v>44</v>
      </c>
      <c r="D30" s="32" t="s">
        <v>29</v>
      </c>
      <c r="E30" s="32" t="s">
        <v>57</v>
      </c>
      <c r="F30" s="89" t="str">
        <f t="shared" si="3"/>
        <v>CCS System CostsCAPEX_INPUT</v>
      </c>
      <c r="G30" s="117">
        <f>'Independent Cost Inputs'!AI61</f>
        <v>100000</v>
      </c>
      <c r="H30" s="117">
        <f>'Independent Cost Inputs'!AJ61</f>
        <v>125000</v>
      </c>
      <c r="I30" s="117">
        <f>'Independent Cost Inputs'!AK61</f>
        <v>150000</v>
      </c>
    </row>
    <row r="31" spans="1:9">
      <c r="C31" s="32" t="s">
        <v>44</v>
      </c>
      <c r="D31" s="32" t="s">
        <v>29</v>
      </c>
      <c r="E31" s="32" t="s">
        <v>21</v>
      </c>
      <c r="F31" s="89" t="str">
        <f t="shared" si="3"/>
        <v>CCS System CostsCAPEX</v>
      </c>
      <c r="G31" s="120">
        <f ca="1">(G29*Day_Rate)+G30</f>
        <v>300000</v>
      </c>
      <c r="H31" s="120">
        <f ca="1">(H29*Day_Rate)+H30</f>
        <v>375000</v>
      </c>
      <c r="I31" s="120">
        <f ca="1">(I29*Day_Rate)+I30</f>
        <v>425000</v>
      </c>
    </row>
    <row r="32" spans="1:9">
      <c r="F32" s="89" t="str">
        <f t="shared" si="3"/>
        <v/>
      </c>
      <c r="G32" s="95"/>
      <c r="H32" s="95"/>
      <c r="I32" s="95"/>
    </row>
    <row r="33" spans="1:12">
      <c r="C33" s="32" t="s">
        <v>44</v>
      </c>
      <c r="D33" s="32" t="s">
        <v>58</v>
      </c>
      <c r="E33" s="60" t="s">
        <v>59</v>
      </c>
      <c r="F33" s="89" t="str">
        <f t="shared" si="3"/>
        <v>CCS System CostsOPEX_INPUT</v>
      </c>
      <c r="G33" s="98">
        <f>'Independent Cost Inputs'!AI62</f>
        <v>0.15</v>
      </c>
      <c r="H33" s="98">
        <f ca="1">'Independent Cost Inputs'!AJ62</f>
        <v>0.2</v>
      </c>
      <c r="I33" s="98">
        <f>'Independent Cost Inputs'!AK62</f>
        <v>0.25</v>
      </c>
      <c r="J33" s="32"/>
      <c r="K33" s="32"/>
      <c r="L33" s="32"/>
    </row>
    <row r="34" spans="1:12">
      <c r="C34" s="32" t="s">
        <v>44</v>
      </c>
      <c r="D34" s="32" t="s">
        <v>29</v>
      </c>
      <c r="E34" s="32" t="s">
        <v>22</v>
      </c>
      <c r="F34" s="89" t="str">
        <f t="shared" si="3"/>
        <v>CCS System CostsOPEX</v>
      </c>
      <c r="G34" s="120">
        <f ca="1">G33*G31</f>
        <v>45000</v>
      </c>
      <c r="H34" s="120">
        <f ca="1">H33*H31</f>
        <v>75000</v>
      </c>
      <c r="I34" s="120">
        <f ca="1">I33*I31</f>
        <v>106250</v>
      </c>
      <c r="J34" s="32"/>
      <c r="K34" s="32"/>
      <c r="L34" s="32"/>
    </row>
    <row r="35" spans="1:12">
      <c r="F35" s="89" t="str">
        <f t="shared" si="3"/>
        <v/>
      </c>
      <c r="G35" s="95"/>
      <c r="H35" s="95"/>
      <c r="I35" s="95"/>
      <c r="J35" s="32"/>
      <c r="K35" s="32"/>
      <c r="L35" s="32"/>
    </row>
    <row r="36" spans="1:12">
      <c r="C36" s="141" t="s">
        <v>47</v>
      </c>
      <c r="D36" s="141"/>
      <c r="E36" s="141" t="s">
        <v>54</v>
      </c>
      <c r="F36" s="142" t="str">
        <f t="shared" si="3"/>
        <v>CCS Process CostsDESCRIPTION</v>
      </c>
      <c r="G36" s="141"/>
      <c r="H36" s="141"/>
      <c r="I36" s="141"/>
      <c r="J36" s="32"/>
      <c r="K36" s="32"/>
      <c r="L36" s="32"/>
    </row>
    <row r="37" spans="1:12">
      <c r="F37" s="89" t="str">
        <f t="shared" si="3"/>
        <v/>
      </c>
      <c r="G37" s="95"/>
      <c r="H37" s="95"/>
      <c r="I37" s="95"/>
      <c r="J37" s="32"/>
      <c r="K37" s="32"/>
      <c r="L37" s="32"/>
    </row>
    <row r="38" spans="1:12" s="32" customFormat="1">
      <c r="A38" s="30"/>
      <c r="B38" s="39"/>
      <c r="C38" s="32" t="s">
        <v>47</v>
      </c>
      <c r="D38" s="32" t="s">
        <v>61</v>
      </c>
      <c r="E38" s="32" t="s">
        <v>57</v>
      </c>
      <c r="F38" s="89" t="str">
        <f t="shared" si="3"/>
        <v>CCS Process CostsCAPEX_INPUT</v>
      </c>
      <c r="G38" s="118">
        <f>'Independent Cost Inputs'!AI63</f>
        <v>3</v>
      </c>
      <c r="H38" s="118">
        <f>'Independent Cost Inputs'!AJ63</f>
        <v>3</v>
      </c>
      <c r="I38" s="118">
        <f>'Independent Cost Inputs'!AK63</f>
        <v>5</v>
      </c>
    </row>
    <row r="39" spans="1:12" s="32" customFormat="1">
      <c r="A39" s="30"/>
      <c r="B39" s="39"/>
      <c r="C39" s="32" t="s">
        <v>47</v>
      </c>
      <c r="D39" s="32" t="s">
        <v>61</v>
      </c>
      <c r="E39" s="32" t="s">
        <v>57</v>
      </c>
      <c r="F39" s="89" t="str">
        <f t="shared" si="3"/>
        <v>CCS Process CostsCAPEX_INPUT</v>
      </c>
      <c r="G39" s="118">
        <f>'Independent Cost Inputs'!AI64</f>
        <v>10</v>
      </c>
      <c r="H39" s="118">
        <f>'Independent Cost Inputs'!AJ64</f>
        <v>10</v>
      </c>
      <c r="I39" s="118">
        <f>'Independent Cost Inputs'!AK64</f>
        <v>15</v>
      </c>
    </row>
    <row r="40" spans="1:12" s="32" customFormat="1">
      <c r="A40" s="30"/>
      <c r="B40" s="39"/>
      <c r="C40" s="32" t="s">
        <v>47</v>
      </c>
      <c r="D40" s="32" t="s">
        <v>29</v>
      </c>
      <c r="E40" s="32" t="s">
        <v>21</v>
      </c>
      <c r="F40" s="89" t="str">
        <f t="shared" si="3"/>
        <v>CCS Process CostsCAPEX</v>
      </c>
      <c r="G40" s="120">
        <f ca="1">G38*Day_Rate*G39</f>
        <v>15000</v>
      </c>
      <c r="H40" s="120">
        <f ca="1">H38*Day_Rate*H39</f>
        <v>15000</v>
      </c>
      <c r="I40" s="120">
        <f ca="1">I38*Day_Rate*I39</f>
        <v>37500</v>
      </c>
    </row>
    <row r="41" spans="1:12" s="32" customFormat="1">
      <c r="A41" s="30"/>
      <c r="B41" s="39"/>
      <c r="C41" s="32" t="s">
        <v>47</v>
      </c>
      <c r="F41" s="89"/>
      <c r="G41" s="95"/>
      <c r="H41" s="95"/>
      <c r="I41" s="95"/>
    </row>
    <row r="42" spans="1:12" s="32" customFormat="1">
      <c r="A42" s="30"/>
      <c r="B42" s="39"/>
      <c r="C42" s="32" t="s">
        <v>47</v>
      </c>
      <c r="D42" s="32" t="s">
        <v>29</v>
      </c>
      <c r="E42" s="60" t="s">
        <v>59</v>
      </c>
      <c r="F42" s="89" t="str">
        <f t="shared" si="3"/>
        <v>CCS Process CostsOPEX_INPUT</v>
      </c>
      <c r="G42" s="119">
        <f>'Independent Cost Inputs'!AI65</f>
        <v>0.5</v>
      </c>
      <c r="H42" s="119">
        <f>'Independent Cost Inputs'!AJ65</f>
        <v>0.5</v>
      </c>
      <c r="I42" s="119">
        <f>'Independent Cost Inputs'!AK65</f>
        <v>0.7</v>
      </c>
    </row>
    <row r="43" spans="1:12" s="32" customFormat="1">
      <c r="A43" s="30"/>
      <c r="B43" s="39"/>
      <c r="C43" s="32" t="s">
        <v>47</v>
      </c>
      <c r="D43" s="32" t="s">
        <v>29</v>
      </c>
      <c r="E43" s="32" t="s">
        <v>22</v>
      </c>
      <c r="F43" s="89" t="str">
        <f t="shared" si="3"/>
        <v>CCS Process CostsOPEX</v>
      </c>
      <c r="G43" s="123">
        <f ca="1">G42*FTE_Cost*G38</f>
        <v>90000</v>
      </c>
      <c r="H43" s="123">
        <f ca="1">H42*FTE_Cost*H38</f>
        <v>90000</v>
      </c>
      <c r="I43" s="123">
        <f ca="1">I42*FTE_Cost*I38</f>
        <v>210000</v>
      </c>
    </row>
    <row r="44" spans="1:12" s="32" customFormat="1">
      <c r="A44" s="30"/>
      <c r="B44" s="39"/>
      <c r="F44" s="89"/>
    </row>
    <row r="45" spans="1:12" s="32" customFormat="1">
      <c r="A45" s="30"/>
      <c r="B45" s="39"/>
      <c r="F45" s="89"/>
    </row>
    <row r="46" spans="1:12" s="32" customFormat="1">
      <c r="A46" s="30"/>
      <c r="B46" s="39"/>
      <c r="F46" s="89"/>
    </row>
    <row r="47" spans="1:12" s="32" customFormat="1">
      <c r="A47" s="30"/>
      <c r="B47" s="39"/>
      <c r="F47" s="89"/>
    </row>
    <row r="48" spans="1:12" s="32" customFormat="1">
      <c r="A48" s="30"/>
      <c r="B48" s="39"/>
      <c r="F48" s="89"/>
    </row>
    <row r="49" spans="1:6" s="32" customFormat="1">
      <c r="A49" s="30"/>
      <c r="B49" s="39"/>
      <c r="F49" s="89"/>
    </row>
    <row r="50" spans="1:6" s="32" customFormat="1">
      <c r="A50" s="30"/>
      <c r="B50" s="39"/>
      <c r="F50" s="89"/>
    </row>
    <row r="51" spans="1:6" s="32" customFormat="1">
      <c r="A51" s="30"/>
      <c r="B51" s="39"/>
      <c r="F51" s="89"/>
    </row>
    <row r="52" spans="1:6" s="32" customFormat="1">
      <c r="A52" s="30"/>
      <c r="B52" s="39"/>
      <c r="F52" s="89"/>
    </row>
    <row r="53" spans="1:6" s="32" customFormat="1">
      <c r="A53" s="30"/>
      <c r="B53" s="39"/>
      <c r="F53" s="89"/>
    </row>
    <row r="54" spans="1:6" s="32" customFormat="1">
      <c r="A54" s="30"/>
      <c r="B54" s="39"/>
      <c r="F54" s="89"/>
    </row>
    <row r="55" spans="1:6" s="32" customFormat="1">
      <c r="A55" s="30"/>
      <c r="B55" s="39"/>
      <c r="F55" s="89"/>
    </row>
    <row r="56" spans="1:6" s="32" customFormat="1">
      <c r="A56" s="30"/>
      <c r="B56" s="39"/>
      <c r="F56" s="89"/>
    </row>
    <row r="57" spans="1:6" s="32" customFormat="1">
      <c r="A57" s="30"/>
      <c r="B57" s="39"/>
      <c r="F57" s="89"/>
    </row>
    <row r="58" spans="1:6" s="32" customFormat="1">
      <c r="A58" s="30"/>
      <c r="B58" s="39"/>
      <c r="F58" s="89"/>
    </row>
    <row r="59" spans="1:6" s="32" customFormat="1">
      <c r="A59" s="30"/>
      <c r="B59" s="39"/>
      <c r="F59" s="89"/>
    </row>
    <row r="60" spans="1:6" s="32" customFormat="1">
      <c r="A60" s="30"/>
      <c r="B60" s="39"/>
      <c r="F60" s="89"/>
    </row>
    <row r="61" spans="1:6" s="32" customFormat="1">
      <c r="A61" s="30"/>
      <c r="B61" s="39"/>
      <c r="F61" s="89"/>
    </row>
    <row r="62" spans="1:6" s="32" customFormat="1">
      <c r="A62" s="30"/>
      <c r="B62" s="39"/>
      <c r="F62" s="89"/>
    </row>
    <row r="63" spans="1:6" s="32" customFormat="1">
      <c r="A63" s="30"/>
      <c r="B63" s="39"/>
      <c r="F63" s="89"/>
    </row>
    <row r="64" spans="1:6" s="32" customFormat="1">
      <c r="A64" s="30"/>
      <c r="B64" s="39"/>
      <c r="F64" s="89"/>
    </row>
    <row r="65" spans="1:6" s="32" customFormat="1">
      <c r="A65" s="30"/>
      <c r="B65" s="39"/>
      <c r="F65" s="89"/>
    </row>
    <row r="66" spans="1:6" s="32" customFormat="1">
      <c r="A66" s="30"/>
      <c r="B66" s="39"/>
      <c r="F66" s="89"/>
    </row>
    <row r="67" spans="1:6" s="32" customFormat="1">
      <c r="A67" s="30"/>
      <c r="B67" s="39"/>
      <c r="F67" s="89"/>
    </row>
    <row r="68" spans="1:6" s="32" customFormat="1">
      <c r="A68" s="30"/>
      <c r="B68" s="39"/>
      <c r="F68" s="89"/>
    </row>
    <row r="69" spans="1:6" s="32" customFormat="1">
      <c r="A69" s="30"/>
      <c r="B69" s="39"/>
      <c r="F69" s="89"/>
    </row>
    <row r="70" spans="1:6" s="32" customFormat="1">
      <c r="A70" s="30"/>
      <c r="B70" s="39"/>
      <c r="F70" s="89"/>
    </row>
    <row r="71" spans="1:6" s="32" customFormat="1">
      <c r="A71" s="30"/>
      <c r="B71" s="39"/>
      <c r="F71" s="89"/>
    </row>
    <row r="72" spans="1:6" s="32" customFormat="1">
      <c r="A72" s="30"/>
      <c r="B72" s="39"/>
      <c r="F72" s="89"/>
    </row>
    <row r="73" spans="1:6" s="32" customFormat="1">
      <c r="A73" s="30"/>
      <c r="B73" s="39"/>
      <c r="F73" s="89"/>
    </row>
    <row r="74" spans="1:6" s="32" customFormat="1">
      <c r="A74" s="30"/>
      <c r="B74" s="39"/>
      <c r="F74" s="89"/>
    </row>
    <row r="75" spans="1:6" s="32" customFormat="1">
      <c r="A75" s="30"/>
      <c r="B75" s="39"/>
      <c r="F75" s="89"/>
    </row>
    <row r="76" spans="1:6" s="32" customFormat="1">
      <c r="A76" s="30"/>
      <c r="B76" s="39"/>
      <c r="F76" s="89"/>
    </row>
    <row r="77" spans="1:6" s="32" customFormat="1">
      <c r="A77" s="30"/>
      <c r="B77" s="39"/>
      <c r="F77" s="89"/>
    </row>
    <row r="78" spans="1:6" s="32" customFormat="1">
      <c r="A78" s="30"/>
      <c r="B78" s="39"/>
      <c r="F78" s="89"/>
    </row>
    <row r="79" spans="1:6" s="32" customFormat="1">
      <c r="A79" s="30"/>
      <c r="B79" s="39"/>
      <c r="F79" s="89"/>
    </row>
    <row r="80" spans="1:6" s="32" customFormat="1">
      <c r="A80" s="30"/>
      <c r="B80" s="39"/>
      <c r="F80" s="89"/>
    </row>
    <row r="81" spans="1:6" s="32" customFormat="1">
      <c r="A81" s="30"/>
      <c r="B81" s="39"/>
      <c r="F81" s="89"/>
    </row>
    <row r="82" spans="1:6" s="32" customFormat="1">
      <c r="A82" s="30"/>
      <c r="B82" s="39"/>
      <c r="F82" s="89"/>
    </row>
    <row r="83" spans="1:6" s="32" customFormat="1">
      <c r="A83" s="30"/>
      <c r="B83" s="39"/>
      <c r="F83" s="89"/>
    </row>
    <row r="84" spans="1:6" s="32" customFormat="1">
      <c r="A84" s="30"/>
      <c r="B84" s="39"/>
      <c r="F84" s="89"/>
    </row>
    <row r="85" spans="1:6" s="32" customFormat="1">
      <c r="A85" s="30"/>
      <c r="B85" s="39"/>
      <c r="F85" s="89"/>
    </row>
    <row r="86" spans="1:6" s="32" customFormat="1">
      <c r="A86" s="30"/>
      <c r="B86" s="39"/>
      <c r="F86" s="89"/>
    </row>
    <row r="87" spans="1:6" s="32" customFormat="1">
      <c r="A87" s="30"/>
      <c r="B87" s="39"/>
      <c r="F87" s="89"/>
    </row>
    <row r="88" spans="1:6" s="32" customFormat="1">
      <c r="A88" s="30"/>
      <c r="B88" s="39"/>
      <c r="F88" s="89"/>
    </row>
    <row r="89" spans="1:6" s="32" customFormat="1">
      <c r="A89" s="30"/>
      <c r="B89" s="39"/>
      <c r="F89" s="89"/>
    </row>
    <row r="90" spans="1:6" s="32" customFormat="1">
      <c r="A90" s="30"/>
      <c r="B90" s="39"/>
      <c r="F90" s="89"/>
    </row>
    <row r="91" spans="1:6" s="32" customFormat="1">
      <c r="A91" s="30"/>
      <c r="B91" s="39"/>
      <c r="F91" s="89"/>
    </row>
    <row r="92" spans="1:6" s="32" customFormat="1">
      <c r="A92" s="30"/>
      <c r="B92" s="39"/>
      <c r="F92" s="89"/>
    </row>
    <row r="93" spans="1:6" s="32" customFormat="1">
      <c r="A93" s="30"/>
      <c r="B93" s="39"/>
      <c r="F93" s="89"/>
    </row>
    <row r="94" spans="1:6" s="32" customFormat="1">
      <c r="A94" s="30"/>
      <c r="B94" s="39"/>
      <c r="F94" s="89"/>
    </row>
    <row r="95" spans="1:6" s="32" customFormat="1">
      <c r="A95" s="30"/>
      <c r="B95" s="39"/>
      <c r="F95" s="89"/>
    </row>
    <row r="96" spans="1:6" s="32" customFormat="1">
      <c r="A96" s="30"/>
      <c r="B96" s="39"/>
      <c r="F96" s="89"/>
    </row>
    <row r="97" spans="1:12" s="32" customFormat="1">
      <c r="A97" s="30"/>
      <c r="B97" s="39"/>
      <c r="F97" s="89"/>
    </row>
    <row r="98" spans="1:12" s="32" customFormat="1">
      <c r="A98" s="30"/>
      <c r="B98" s="39"/>
      <c r="F98" s="89"/>
    </row>
    <row r="99" spans="1:12" s="32" customFormat="1">
      <c r="A99" s="30"/>
      <c r="B99" s="39"/>
      <c r="F99" s="89"/>
    </row>
    <row r="100" spans="1:12" s="32" customFormat="1">
      <c r="A100" s="30"/>
      <c r="B100" s="39"/>
      <c r="F100" s="89"/>
    </row>
    <row r="101" spans="1:12" s="32" customFormat="1">
      <c r="A101" s="30"/>
      <c r="B101" s="39"/>
      <c r="F101" s="89"/>
    </row>
    <row r="102" spans="1:12" s="32" customFormat="1">
      <c r="A102" s="30"/>
      <c r="B102" s="39"/>
      <c r="F102" s="89"/>
    </row>
    <row r="103" spans="1:12" s="32" customFormat="1">
      <c r="A103" s="30"/>
      <c r="B103" s="39"/>
      <c r="F103" s="89"/>
    </row>
    <row r="104" spans="1:12" s="32" customFormat="1">
      <c r="A104" s="30"/>
      <c r="B104" s="39"/>
      <c r="F104" s="89"/>
    </row>
    <row r="105" spans="1:12" s="32" customFormat="1">
      <c r="A105" s="30"/>
      <c r="B105" s="39"/>
      <c r="F105" s="89"/>
    </row>
    <row r="106" spans="1:12" s="32" customFormat="1">
      <c r="A106" s="30"/>
      <c r="B106" s="39"/>
      <c r="F106" s="89"/>
    </row>
    <row r="107" spans="1:12" s="32" customFormat="1">
      <c r="A107" s="30"/>
      <c r="B107" s="39"/>
      <c r="F107" s="89"/>
    </row>
    <row r="108" spans="1:12" s="32" customFormat="1">
      <c r="A108" s="30"/>
      <c r="B108" s="39"/>
      <c r="F108" s="89"/>
    </row>
    <row r="109" spans="1:12" s="32" customFormat="1">
      <c r="A109" s="30"/>
      <c r="B109" s="39"/>
      <c r="F109" s="89"/>
      <c r="J109" s="30"/>
      <c r="K109" s="30"/>
      <c r="L109" s="30"/>
    </row>
    <row r="110" spans="1:12" s="32" customFormat="1">
      <c r="A110" s="30"/>
      <c r="B110" s="39"/>
      <c r="F110" s="89"/>
      <c r="J110" s="30"/>
      <c r="K110" s="30"/>
      <c r="L110" s="30"/>
    </row>
    <row r="111" spans="1:12" s="32" customFormat="1">
      <c r="A111" s="30"/>
      <c r="B111" s="39"/>
      <c r="F111" s="89"/>
      <c r="J111" s="30"/>
      <c r="K111" s="30"/>
      <c r="L111" s="30"/>
    </row>
    <row r="112" spans="1:12" s="32" customFormat="1">
      <c r="A112" s="30"/>
      <c r="B112" s="39"/>
      <c r="F112" s="89"/>
      <c r="J112" s="30"/>
      <c r="K112" s="30"/>
      <c r="L112" s="30"/>
    </row>
    <row r="113" spans="1:12" s="32" customFormat="1">
      <c r="A113" s="30"/>
      <c r="B113" s="39"/>
      <c r="F113" s="89"/>
      <c r="J113" s="30"/>
      <c r="K113" s="30"/>
      <c r="L113" s="30"/>
    </row>
    <row r="114" spans="1:12" s="32" customFormat="1">
      <c r="A114" s="30"/>
      <c r="B114" s="39"/>
      <c r="F114" s="89"/>
      <c r="J114" s="30"/>
      <c r="K114" s="30"/>
      <c r="L114" s="30"/>
    </row>
    <row r="115" spans="1:12" s="32" customFormat="1">
      <c r="A115" s="30"/>
      <c r="B115" s="39"/>
      <c r="F115" s="89"/>
      <c r="J115" s="30"/>
      <c r="K115" s="30"/>
      <c r="L115" s="30"/>
    </row>
    <row r="116" spans="1:12" s="32" customFormat="1">
      <c r="A116" s="30"/>
      <c r="B116" s="39"/>
      <c r="F116" s="89"/>
      <c r="J116" s="30"/>
      <c r="K116" s="30"/>
      <c r="L116" s="30"/>
    </row>
    <row r="117" spans="1:12" s="32" customFormat="1">
      <c r="A117" s="30"/>
      <c r="B117" s="39"/>
      <c r="F117" s="89"/>
      <c r="J117" s="30"/>
      <c r="K117" s="30"/>
      <c r="L117" s="30"/>
    </row>
    <row r="118" spans="1:12" s="32" customFormat="1">
      <c r="A118" s="30"/>
      <c r="B118" s="39"/>
      <c r="F118" s="89"/>
      <c r="J118" s="30"/>
      <c r="K118" s="30"/>
      <c r="L118" s="30"/>
    </row>
    <row r="119" spans="1:12" s="32" customFormat="1">
      <c r="A119" s="30"/>
      <c r="B119" s="39"/>
      <c r="F119" s="89"/>
      <c r="J119" s="30"/>
      <c r="K119" s="30"/>
      <c r="L119" s="30"/>
    </row>
    <row r="120" spans="1:12" s="32" customFormat="1">
      <c r="A120" s="30"/>
      <c r="B120" s="39"/>
      <c r="F120" s="89"/>
      <c r="J120" s="30"/>
      <c r="K120" s="30"/>
      <c r="L120" s="30"/>
    </row>
    <row r="121" spans="1:12" s="32" customFormat="1">
      <c r="A121" s="30"/>
      <c r="B121" s="39"/>
      <c r="F121" s="89"/>
      <c r="J121" s="30"/>
      <c r="K121" s="30"/>
      <c r="L121" s="30"/>
    </row>
    <row r="122" spans="1:12" s="32" customFormat="1">
      <c r="A122" s="30"/>
      <c r="B122" s="39"/>
      <c r="F122" s="89"/>
      <c r="J122" s="30"/>
      <c r="K122" s="30"/>
      <c r="L122" s="30"/>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codeName="Sheet31">
    <tabColor theme="3"/>
  </sheetPr>
  <dimension ref="A2:R23"/>
  <sheetViews>
    <sheetView showGridLines="0" zoomScale="85" zoomScaleNormal="85" workbookViewId="0">
      <selection activeCell="C1" sqref="C1"/>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sheetPr codeName="Sheet32"/>
  <dimension ref="B2:I42"/>
  <sheetViews>
    <sheetView showGridLines="0" zoomScale="70" zoomScaleNormal="70" workbookViewId="0">
      <selection activeCell="E37" sqref="E37"/>
    </sheetView>
  </sheetViews>
  <sheetFormatPr defaultColWidth="9.140625" defaultRowHeight="12.75"/>
  <cols>
    <col min="1" max="1" width="3.5703125" style="30" customWidth="1"/>
    <col min="2" max="2" width="9.140625" style="30"/>
    <col min="3" max="3" width="34" style="32" customWidth="1"/>
    <col min="4" max="4" width="10" style="32" customWidth="1"/>
    <col min="5" max="5" width="15.42578125" style="32" customWidth="1"/>
    <col min="6" max="6" width="19.5703125" style="50" hidden="1" customWidth="1"/>
    <col min="7" max="9" width="16" style="32" customWidth="1"/>
    <col min="10" max="16384" width="9.140625" style="30"/>
  </cols>
  <sheetData>
    <row r="2" spans="2:9">
      <c r="B2" s="30" t="s">
        <v>0</v>
      </c>
      <c r="C2" s="49" t="str">
        <f ca="1">MID(CELL("filename",A1),FIND("]",CELL("filename",A1))+1,256)</f>
        <v>LPL - Process Workings</v>
      </c>
    </row>
    <row r="3" spans="2:9">
      <c r="B3" s="30" t="s">
        <v>1</v>
      </c>
      <c r="C3" s="50" t="s">
        <v>108</v>
      </c>
    </row>
    <row r="5" spans="2:9" s="51" customFormat="1">
      <c r="B5" s="51" t="s">
        <v>18</v>
      </c>
      <c r="C5" s="52" t="s">
        <v>19</v>
      </c>
      <c r="D5" s="52" t="s">
        <v>20</v>
      </c>
      <c r="E5" s="52" t="s">
        <v>52</v>
      </c>
      <c r="F5" s="53" t="s">
        <v>53</v>
      </c>
      <c r="G5" s="124" t="s">
        <v>228</v>
      </c>
      <c r="H5" s="124" t="s">
        <v>229</v>
      </c>
      <c r="I5" s="124" t="s">
        <v>230</v>
      </c>
    </row>
    <row r="7" spans="2:9">
      <c r="B7" s="31" t="s">
        <v>4</v>
      </c>
      <c r="C7" s="32" t="s">
        <v>21</v>
      </c>
      <c r="G7" s="125">
        <f ca="1">SUMIF($E$11:$E$202,"CAPEX",G11:G202)</f>
        <v>1250</v>
      </c>
      <c r="H7" s="125">
        <f t="shared" ref="H7:I7" ca="1" si="0">SUMIF($E$11:$E$202,"CAPEX",H11:H202)</f>
        <v>30000</v>
      </c>
      <c r="I7" s="125">
        <f t="shared" ca="1" si="0"/>
        <v>92500</v>
      </c>
    </row>
    <row r="8" spans="2:9">
      <c r="B8" s="39"/>
      <c r="C8" s="32" t="s">
        <v>22</v>
      </c>
      <c r="G8" s="125">
        <f ca="1">SUMIF($E$11:$E$202,"OPEX",G11:G202)</f>
        <v>2269.9056363637892</v>
      </c>
      <c r="H8" s="125">
        <f t="shared" ref="H8:I8" ca="1" si="1">SUMIF($E$11:$E$202,"OPEX",H11:H202)</f>
        <v>46398.112727275788</v>
      </c>
      <c r="I8" s="125">
        <f t="shared" ca="1" si="1"/>
        <v>759132.06666672276</v>
      </c>
    </row>
    <row r="9" spans="2:9">
      <c r="B9" s="34"/>
      <c r="G9" s="95"/>
      <c r="H9" s="95"/>
      <c r="I9" s="95"/>
    </row>
    <row r="10" spans="2:9">
      <c r="B10" s="34"/>
      <c r="G10" s="95"/>
      <c r="H10" s="95"/>
      <c r="I10" s="95"/>
    </row>
    <row r="11" spans="2:9">
      <c r="B11" s="34"/>
      <c r="G11" s="96"/>
      <c r="H11" s="96"/>
      <c r="I11" s="96"/>
    </row>
    <row r="12" spans="2:9">
      <c r="B12" s="34"/>
      <c r="G12" s="96"/>
      <c r="H12" s="96"/>
      <c r="I12" s="96"/>
    </row>
    <row r="13" spans="2:9">
      <c r="B13" s="34"/>
      <c r="G13" s="96"/>
      <c r="H13" s="96"/>
      <c r="I13" s="96"/>
    </row>
    <row r="14" spans="2:9">
      <c r="B14" s="34"/>
      <c r="G14" s="97"/>
      <c r="H14" s="97"/>
      <c r="I14" s="97"/>
    </row>
    <row r="15" spans="2:9">
      <c r="B15" s="34"/>
      <c r="G15" s="97"/>
      <c r="H15" s="97"/>
      <c r="I15" s="97"/>
    </row>
    <row r="16" spans="2:9">
      <c r="B16" s="34"/>
      <c r="G16" s="98"/>
      <c r="H16" s="98"/>
      <c r="I16" s="98"/>
    </row>
    <row r="17" spans="2:9">
      <c r="B17" s="34"/>
      <c r="G17" s="99"/>
      <c r="H17" s="99"/>
      <c r="I17" s="99"/>
    </row>
    <row r="18" spans="2:9">
      <c r="B18" s="34"/>
    </row>
    <row r="19" spans="2:9">
      <c r="B19" s="34"/>
    </row>
    <row r="20" spans="2:9" ht="25.5">
      <c r="B20" s="34"/>
      <c r="C20" s="141" t="s">
        <v>38</v>
      </c>
      <c r="D20" s="141"/>
      <c r="E20" s="141"/>
      <c r="F20" s="142" t="str">
        <f t="shared" ref="F20:F21" si="2">C20&amp;E20</f>
        <v>Customer Interface Management Changes</v>
      </c>
      <c r="G20" s="141"/>
      <c r="H20" s="141"/>
      <c r="I20" s="141"/>
    </row>
    <row r="21" spans="2:9">
      <c r="B21" s="34"/>
      <c r="F21" s="50" t="str">
        <f t="shared" si="2"/>
        <v/>
      </c>
    </row>
    <row r="22" spans="2:9" ht="25.5">
      <c r="B22" s="34"/>
      <c r="C22" s="32" t="s">
        <v>38</v>
      </c>
      <c r="D22" s="32" t="s">
        <v>61</v>
      </c>
      <c r="E22" s="32" t="s">
        <v>57</v>
      </c>
      <c r="F22" s="50" t="str">
        <f>C22&amp;E22</f>
        <v>Customer Interface Management ChangesCAPEX_INPUT</v>
      </c>
      <c r="G22" s="96">
        <f>'Independent Cost Inputs'!AR12</f>
        <v>5</v>
      </c>
      <c r="H22" s="96">
        <f>'Independent Cost Inputs'!AS12</f>
        <v>100</v>
      </c>
      <c r="I22" s="96">
        <f>'Independent Cost Inputs'!AT12</f>
        <v>350</v>
      </c>
    </row>
    <row r="23" spans="2:9" ht="25.5">
      <c r="B23" s="34"/>
      <c r="C23" s="32" t="s">
        <v>38</v>
      </c>
      <c r="D23" s="32" t="s">
        <v>56</v>
      </c>
      <c r="E23" s="32" t="s">
        <v>57</v>
      </c>
      <c r="F23" s="89" t="str">
        <f>C23&amp;E23</f>
        <v>Customer Interface Management ChangesCAPEX_INPUT</v>
      </c>
      <c r="G23" s="96">
        <f>'Independent Cost Inputs'!AR13</f>
        <v>0.5</v>
      </c>
      <c r="H23" s="96">
        <f>'Independent Cost Inputs'!AS13</f>
        <v>0.5</v>
      </c>
      <c r="I23" s="96">
        <f>'Independent Cost Inputs'!AT13</f>
        <v>0.5</v>
      </c>
    </row>
    <row r="24" spans="2:9" ht="25.5">
      <c r="B24" s="34"/>
      <c r="C24" s="32" t="s">
        <v>38</v>
      </c>
      <c r="D24" s="32" t="s">
        <v>56</v>
      </c>
      <c r="E24" s="32" t="s">
        <v>57</v>
      </c>
      <c r="F24" s="89" t="str">
        <f>C24&amp;E24</f>
        <v>Customer Interface Management ChangesCAPEX_INPUT</v>
      </c>
      <c r="G24" s="96">
        <f>'Independent Cost Inputs'!AR14</f>
        <v>0</v>
      </c>
      <c r="H24" s="96">
        <f>'Independent Cost Inputs'!AS14</f>
        <v>10</v>
      </c>
      <c r="I24" s="96">
        <f>'Independent Cost Inputs'!AT14</f>
        <v>10</v>
      </c>
    </row>
    <row r="25" spans="2:9" ht="25.5">
      <c r="B25" s="34"/>
      <c r="C25" s="32" t="s">
        <v>38</v>
      </c>
      <c r="D25" s="32" t="s">
        <v>29</v>
      </c>
      <c r="E25" s="32" t="s">
        <v>57</v>
      </c>
      <c r="F25" s="89" t="str">
        <f>C25&amp;E25</f>
        <v>Customer Interface Management ChangesCAPEX_INPUT</v>
      </c>
      <c r="G25" s="96">
        <f ca="1">'Independent Cost Inputs'!$G$73</f>
        <v>500</v>
      </c>
      <c r="H25" s="96">
        <f ca="1">'Independent Cost Inputs'!$G$73</f>
        <v>500</v>
      </c>
      <c r="I25" s="96">
        <f ca="1">'Independent Cost Inputs'!$G$73</f>
        <v>500</v>
      </c>
    </row>
    <row r="26" spans="2:9" ht="25.5">
      <c r="B26" s="34"/>
      <c r="C26" s="32" t="s">
        <v>38</v>
      </c>
      <c r="D26" s="32" t="s">
        <v>29</v>
      </c>
      <c r="E26" s="32" t="s">
        <v>21</v>
      </c>
      <c r="F26" s="50" t="str">
        <f t="shared" ref="F26" si="3">C26&amp;E26</f>
        <v>Customer Interface Management ChangesCAPEX</v>
      </c>
      <c r="G26" s="120">
        <f ca="1">(G22*G25*G23)+(G24*Day_Rate)</f>
        <v>1250</v>
      </c>
      <c r="H26" s="120">
        <f ca="1">(H22*H25*H23)+(H24*Day_Rate)</f>
        <v>30000</v>
      </c>
      <c r="I26" s="120">
        <f ca="1">(I22*I25*I23)+(I24*Day_Rate)</f>
        <v>92500</v>
      </c>
    </row>
    <row r="27" spans="2:9">
      <c r="B27" s="34"/>
      <c r="G27" s="97"/>
      <c r="H27" s="97"/>
      <c r="I27" s="97"/>
    </row>
    <row r="28" spans="2:9" ht="25.5">
      <c r="B28" s="34"/>
      <c r="C28" s="32" t="s">
        <v>38</v>
      </c>
      <c r="D28" s="32" t="s">
        <v>58</v>
      </c>
      <c r="E28" s="32" t="s">
        <v>59</v>
      </c>
      <c r="F28" s="89" t="str">
        <f>C28&amp;E28</f>
        <v>Customer Interface Management ChangesOPEX_INPUT</v>
      </c>
      <c r="G28" s="98">
        <f ca="1">'Independent Cost Inputs'!AR15</f>
        <v>0.2</v>
      </c>
      <c r="H28" s="98">
        <f ca="1">'Independent Cost Inputs'!AS15</f>
        <v>0.2</v>
      </c>
      <c r="I28" s="98">
        <f ca="1">'Independent Cost Inputs'!AT15</f>
        <v>0.2</v>
      </c>
    </row>
    <row r="29" spans="2:9" ht="25.5">
      <c r="B29" s="34"/>
      <c r="C29" s="32" t="s">
        <v>38</v>
      </c>
      <c r="D29" s="32" t="s">
        <v>29</v>
      </c>
      <c r="E29" s="32" t="s">
        <v>22</v>
      </c>
      <c r="F29" s="89" t="str">
        <f>C29&amp;E29</f>
        <v>Customer Interface Management ChangesOPEX</v>
      </c>
      <c r="G29" s="145">
        <f ca="1">G28*G26</f>
        <v>250</v>
      </c>
      <c r="H29" s="145">
        <f t="shared" ref="H29:I29" ca="1" si="4">H28*H26</f>
        <v>6000</v>
      </c>
      <c r="I29" s="145">
        <f t="shared" ca="1" si="4"/>
        <v>18500</v>
      </c>
    </row>
    <row r="30" spans="2:9">
      <c r="B30" s="39"/>
      <c r="G30" s="59"/>
      <c r="H30" s="59"/>
      <c r="I30" s="59"/>
    </row>
    <row r="31" spans="2:9">
      <c r="B31" s="34"/>
      <c r="C31" s="141" t="s">
        <v>39</v>
      </c>
      <c r="D31" s="141"/>
      <c r="E31" s="141"/>
      <c r="F31" s="142"/>
      <c r="G31" s="141"/>
      <c r="H31" s="141"/>
      <c r="I31" s="141"/>
    </row>
    <row r="32" spans="2:9">
      <c r="B32" s="34"/>
    </row>
    <row r="33" spans="2:9">
      <c r="B33" s="34"/>
      <c r="C33" s="34" t="s">
        <v>39</v>
      </c>
      <c r="D33" s="32" t="s">
        <v>76</v>
      </c>
      <c r="E33" s="32" t="s">
        <v>59</v>
      </c>
      <c r="F33" s="89" t="str">
        <f>C33&amp;E33</f>
        <v>Order Handling ChangesOPEX_INPUT</v>
      </c>
      <c r="G33" s="96">
        <f>'Independent Cost Inputs'!AR18</f>
        <v>21</v>
      </c>
      <c r="H33" s="96">
        <f>'Independent Cost Inputs'!AS18</f>
        <v>21</v>
      </c>
      <c r="I33" s="96">
        <f>'Independent Cost Inputs'!AT18</f>
        <v>21</v>
      </c>
    </row>
    <row r="34" spans="2:9">
      <c r="B34" s="34"/>
      <c r="C34" s="34" t="s">
        <v>39</v>
      </c>
      <c r="D34" s="32" t="s">
        <v>76</v>
      </c>
      <c r="E34" s="32" t="s">
        <v>59</v>
      </c>
      <c r="F34" s="89" t="str">
        <f>C34&amp;E34</f>
        <v>Order Handling ChangesOPEX_INPUT</v>
      </c>
      <c r="G34" s="126">
        <f>G33-Call_Time_Blend</f>
        <v>6.5189004150531282</v>
      </c>
      <c r="H34" s="126">
        <f>H33-Call_Time_Blend</f>
        <v>6.5189004150531282</v>
      </c>
      <c r="I34" s="126">
        <f>I33-Call_Time_Blend</f>
        <v>6.5189004150531282</v>
      </c>
    </row>
    <row r="35" spans="2:9">
      <c r="B35" s="34"/>
      <c r="C35" s="34" t="s">
        <v>39</v>
      </c>
      <c r="D35" s="32" t="s">
        <v>29</v>
      </c>
      <c r="E35" s="32" t="s">
        <v>59</v>
      </c>
      <c r="F35" s="89" t="str">
        <f>C35&amp;E35</f>
        <v>Order Handling ChangesOPEX_INPUT</v>
      </c>
      <c r="G35" s="327">
        <f ca="1">'Independent Cost Inputs'!$G$78</f>
        <v>0.36</v>
      </c>
      <c r="H35" s="327">
        <f ca="1">'Independent Cost Inputs'!$G$78</f>
        <v>0.36</v>
      </c>
      <c r="I35" s="327">
        <f ca="1">'Independent Cost Inputs'!$G$78</f>
        <v>0.36</v>
      </c>
    </row>
    <row r="36" spans="2:9">
      <c r="B36" s="34"/>
      <c r="C36" s="34" t="s">
        <v>39</v>
      </c>
      <c r="D36" s="32" t="s">
        <v>29</v>
      </c>
      <c r="E36" s="32" t="s">
        <v>22</v>
      </c>
      <c r="F36" s="89" t="str">
        <f>C36&amp;E36</f>
        <v>Order Handling ChangesOPEX</v>
      </c>
      <c r="G36" s="145">
        <f ca="1">G34*G35*Switches_Low*(1-OnlineSalesPc)</f>
        <v>2019.9056363637894</v>
      </c>
      <c r="H36" s="145">
        <f ca="1">H34*H35*Switches_Medium*(1-OnlineSalesPc)</f>
        <v>40398.112727275788</v>
      </c>
      <c r="I36" s="145">
        <f ca="1">I34*I35*Switches_High*(1-OnlineSalesPc)</f>
        <v>740632.06666672276</v>
      </c>
    </row>
    <row r="37" spans="2:9">
      <c r="B37" s="32"/>
      <c r="G37" s="59"/>
      <c r="H37" s="59"/>
      <c r="I37" s="59"/>
    </row>
    <row r="38" spans="2:9">
      <c r="B38" s="54"/>
    </row>
    <row r="39" spans="2:9">
      <c r="B39" s="32"/>
      <c r="G39" s="95"/>
      <c r="H39" s="95"/>
      <c r="I39" s="95"/>
    </row>
    <row r="40" spans="2:9">
      <c r="B40" s="32"/>
      <c r="G40" s="95"/>
      <c r="H40" s="95"/>
      <c r="I40" s="95"/>
    </row>
    <row r="41" spans="2:9">
      <c r="B41" s="32"/>
      <c r="G41" s="96"/>
      <c r="H41" s="96"/>
      <c r="I41" s="96"/>
    </row>
    <row r="42" spans="2:9">
      <c r="B42" s="34"/>
      <c r="G42" s="96"/>
      <c r="H42" s="96"/>
      <c r="I42" s="96"/>
    </row>
  </sheetData>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sheetPr codeName="Sheet33"/>
  <dimension ref="A2:J83"/>
  <sheetViews>
    <sheetView showGridLines="0" zoomScale="70" zoomScaleNormal="70" workbookViewId="0">
      <selection activeCell="G21" sqref="G21"/>
    </sheetView>
  </sheetViews>
  <sheetFormatPr defaultColWidth="9.140625" defaultRowHeight="12.75"/>
  <cols>
    <col min="1" max="1" width="3.5703125" style="30" customWidth="1"/>
    <col min="2" max="2" width="9.140625" style="30"/>
    <col min="3" max="3" width="34" style="32" customWidth="1"/>
    <col min="4" max="4" width="10" style="32" customWidth="1"/>
    <col min="5" max="5" width="15.42578125" style="32" customWidth="1"/>
    <col min="6" max="6" width="19.5703125" style="50" hidden="1" customWidth="1"/>
    <col min="7" max="9" width="16" style="95" customWidth="1"/>
    <col min="10" max="16384" width="9.140625" style="30"/>
  </cols>
  <sheetData>
    <row r="2" spans="2:10">
      <c r="B2" s="30" t="s">
        <v>0</v>
      </c>
      <c r="C2" s="49" t="str">
        <f ca="1">MID(CELL("filename",A1),FIND("]",CELL("filename",A1))+1,256)</f>
        <v>LPL - Systems Workings</v>
      </c>
    </row>
    <row r="3" spans="2:10">
      <c r="B3" s="30" t="s">
        <v>1</v>
      </c>
      <c r="C3" s="32" t="s">
        <v>109</v>
      </c>
    </row>
    <row r="5" spans="2:10" s="51" customFormat="1">
      <c r="B5" s="51" t="s">
        <v>18</v>
      </c>
      <c r="C5" s="52" t="s">
        <v>19</v>
      </c>
      <c r="D5" s="52" t="s">
        <v>20</v>
      </c>
      <c r="E5" s="52" t="s">
        <v>52</v>
      </c>
      <c r="F5" s="53" t="s">
        <v>53</v>
      </c>
      <c r="G5" s="124" t="s">
        <v>228</v>
      </c>
      <c r="H5" s="124" t="s">
        <v>229</v>
      </c>
      <c r="I5" s="124" t="s">
        <v>230</v>
      </c>
    </row>
    <row r="7" spans="2:10">
      <c r="B7" s="31"/>
      <c r="C7" s="32" t="s">
        <v>21</v>
      </c>
      <c r="G7" s="125">
        <f ca="1">SUMIF($E$11:$E$200,"CAPEX",G11:G200)</f>
        <v>0</v>
      </c>
      <c r="H7" s="125">
        <f t="shared" ref="H7:I7" ca="1" si="0">SUMIF($E$11:$E$200,"CAPEX",H11:H200)</f>
        <v>220000</v>
      </c>
      <c r="I7" s="125">
        <f t="shared" ca="1" si="0"/>
        <v>475000</v>
      </c>
    </row>
    <row r="8" spans="2:10">
      <c r="C8" s="32" t="s">
        <v>22</v>
      </c>
      <c r="G8" s="125">
        <f ca="1">SUMIF($E$11:$E$200,"OPEX",G11:G200)</f>
        <v>0</v>
      </c>
      <c r="H8" s="125">
        <f t="shared" ref="H8:I8" ca="1" si="1">SUMIF($E$11:$E$200,"OPEX",H11:H200)</f>
        <v>44000</v>
      </c>
      <c r="I8" s="125">
        <f t="shared" ca="1" si="1"/>
        <v>95000</v>
      </c>
    </row>
    <row r="9" spans="2:10">
      <c r="B9" s="34"/>
    </row>
    <row r="10" spans="2:10">
      <c r="B10" s="34"/>
    </row>
    <row r="11" spans="2:10" s="102" customFormat="1">
      <c r="B11" s="95"/>
      <c r="C11" s="95"/>
      <c r="D11" s="95"/>
      <c r="E11" s="95"/>
      <c r="F11" s="100"/>
      <c r="G11" s="96"/>
      <c r="H11" s="96"/>
      <c r="I11" s="96"/>
      <c r="J11" s="101"/>
    </row>
    <row r="12" spans="2:10" s="102" customFormat="1">
      <c r="B12" s="95"/>
      <c r="C12" s="95"/>
      <c r="D12" s="95"/>
      <c r="E12" s="95"/>
      <c r="F12" s="100"/>
      <c r="G12" s="96"/>
      <c r="H12" s="96"/>
      <c r="I12" s="96"/>
      <c r="J12" s="101"/>
    </row>
    <row r="13" spans="2:10" s="102" customFormat="1">
      <c r="B13" s="95"/>
      <c r="C13" s="95"/>
      <c r="D13" s="95"/>
      <c r="E13" s="95"/>
      <c r="F13" s="100"/>
      <c r="G13" s="97"/>
      <c r="H13" s="97"/>
      <c r="I13" s="97"/>
    </row>
    <row r="14" spans="2:10" s="102" customFormat="1">
      <c r="B14" s="95"/>
      <c r="C14" s="95"/>
      <c r="D14" s="95"/>
      <c r="E14" s="95"/>
      <c r="F14" s="100"/>
      <c r="G14" s="97"/>
      <c r="H14" s="97"/>
      <c r="I14" s="97"/>
    </row>
    <row r="15" spans="2:10" s="102" customFormat="1">
      <c r="B15" s="95"/>
      <c r="C15" s="95"/>
      <c r="D15" s="95"/>
      <c r="E15" s="95"/>
      <c r="F15" s="100"/>
      <c r="G15" s="98"/>
      <c r="H15" s="98"/>
      <c r="I15" s="98"/>
    </row>
    <row r="16" spans="2:10" s="102" customFormat="1">
      <c r="B16" s="95"/>
      <c r="C16" s="95"/>
      <c r="D16" s="95"/>
      <c r="E16" s="95"/>
      <c r="F16" s="100"/>
      <c r="G16" s="99"/>
      <c r="H16" s="99"/>
      <c r="I16" s="99"/>
    </row>
    <row r="17" spans="1:10" s="102" customFormat="1">
      <c r="B17" s="95"/>
      <c r="C17" s="95"/>
      <c r="D17" s="95"/>
      <c r="E17" s="95"/>
      <c r="F17" s="100"/>
      <c r="G17" s="95"/>
      <c r="H17" s="95"/>
      <c r="I17" s="95"/>
    </row>
    <row r="18" spans="1:10" s="102" customFormat="1">
      <c r="B18" s="95"/>
      <c r="C18" s="95"/>
      <c r="D18" s="95"/>
      <c r="E18" s="95"/>
      <c r="F18" s="100"/>
      <c r="G18" s="95"/>
      <c r="H18" s="95"/>
      <c r="I18" s="95"/>
    </row>
    <row r="19" spans="1:10" s="102" customFormat="1">
      <c r="B19" s="95"/>
      <c r="C19" s="95"/>
      <c r="D19" s="95"/>
      <c r="E19" s="95"/>
      <c r="F19" s="100"/>
      <c r="G19" s="95"/>
      <c r="H19" s="95"/>
      <c r="I19" s="95"/>
    </row>
    <row r="20" spans="1:10" s="102" customFormat="1">
      <c r="B20" s="95"/>
      <c r="C20" s="95"/>
      <c r="D20" s="95"/>
      <c r="E20" s="95"/>
      <c r="F20" s="100"/>
      <c r="G20" s="96"/>
      <c r="H20" s="96"/>
      <c r="I20" s="96"/>
      <c r="J20" s="101"/>
    </row>
    <row r="21" spans="1:10">
      <c r="A21" s="39"/>
      <c r="B21" s="34"/>
      <c r="J21" s="61"/>
    </row>
    <row r="22" spans="1:10">
      <c r="A22" s="39"/>
      <c r="B22" s="34"/>
      <c r="C22" s="141" t="s">
        <v>31</v>
      </c>
      <c r="D22" s="146"/>
      <c r="E22" s="146"/>
      <c r="F22" s="147" t="str">
        <f t="shared" ref="F22:F83" si="2">C22&amp;E22</f>
        <v>Customer Order Management Changes</v>
      </c>
      <c r="G22" s="148"/>
      <c r="H22" s="148"/>
      <c r="I22" s="148"/>
    </row>
    <row r="23" spans="1:10">
      <c r="A23" s="39"/>
      <c r="B23" s="34"/>
      <c r="F23" s="50" t="str">
        <f t="shared" si="2"/>
        <v/>
      </c>
    </row>
    <row r="24" spans="1:10">
      <c r="A24" s="39"/>
      <c r="B24" s="34"/>
      <c r="C24" s="32" t="s">
        <v>31</v>
      </c>
      <c r="D24" s="32" t="s">
        <v>56</v>
      </c>
      <c r="E24" s="32" t="s">
        <v>57</v>
      </c>
      <c r="F24" s="50" t="str">
        <f t="shared" si="2"/>
        <v>Customer Order Management ChangesCAPEX_INPUT</v>
      </c>
      <c r="G24" s="96">
        <f>'Independent Cost Inputs'!AR25</f>
        <v>0</v>
      </c>
      <c r="H24" s="96">
        <f>'Independent Cost Inputs'!AS25</f>
        <v>100</v>
      </c>
      <c r="I24" s="96">
        <f>'Independent Cost Inputs'!AT25</f>
        <v>150</v>
      </c>
    </row>
    <row r="25" spans="1:10">
      <c r="A25" s="39"/>
      <c r="B25" s="34"/>
      <c r="C25" s="32" t="s">
        <v>31</v>
      </c>
      <c r="D25" s="32" t="s">
        <v>29</v>
      </c>
      <c r="E25" s="32" t="s">
        <v>57</v>
      </c>
      <c r="F25" s="50" t="str">
        <f t="shared" si="2"/>
        <v>Customer Order Management ChangesCAPEX_INPUT</v>
      </c>
      <c r="G25" s="96">
        <f>'Independent Cost Inputs'!AR26</f>
        <v>0</v>
      </c>
      <c r="H25" s="96">
        <f>'Independent Cost Inputs'!AS26</f>
        <v>40000</v>
      </c>
      <c r="I25" s="96">
        <f>'Independent Cost Inputs'!AT26</f>
        <v>70000</v>
      </c>
    </row>
    <row r="26" spans="1:10">
      <c r="A26" s="39"/>
      <c r="B26" s="34"/>
      <c r="C26" s="32" t="s">
        <v>31</v>
      </c>
      <c r="D26" s="32" t="s">
        <v>29</v>
      </c>
      <c r="E26" s="32" t="s">
        <v>21</v>
      </c>
      <c r="F26" s="50" t="str">
        <f t="shared" si="2"/>
        <v>Customer Order Management ChangesCAPEX</v>
      </c>
      <c r="G26" s="120">
        <f ca="1">(G24*Day_Rate)+G25</f>
        <v>0</v>
      </c>
      <c r="H26" s="120">
        <f ca="1">(H24*Day_Rate)+H25</f>
        <v>90000</v>
      </c>
      <c r="I26" s="120">
        <f ca="1">(I24*Day_Rate)+I25</f>
        <v>145000</v>
      </c>
    </row>
    <row r="27" spans="1:10">
      <c r="A27" s="39"/>
      <c r="B27" s="34"/>
      <c r="J27" s="31"/>
    </row>
    <row r="28" spans="1:10">
      <c r="A28" s="39"/>
      <c r="B28" s="34"/>
      <c r="C28" s="32" t="s">
        <v>31</v>
      </c>
      <c r="D28" s="32" t="s">
        <v>58</v>
      </c>
      <c r="E28" s="60" t="s">
        <v>59</v>
      </c>
      <c r="F28" s="89" t="str">
        <f t="shared" si="2"/>
        <v>Customer Order Management ChangesOPEX_INPUT</v>
      </c>
      <c r="G28" s="98">
        <f ca="1">'Independent Cost Inputs'!AR27</f>
        <v>0.2</v>
      </c>
      <c r="H28" s="98">
        <f ca="1">'Independent Cost Inputs'!AS27</f>
        <v>0.2</v>
      </c>
      <c r="I28" s="98">
        <f ca="1">'Independent Cost Inputs'!AT27</f>
        <v>0.2</v>
      </c>
      <c r="J28" s="61"/>
    </row>
    <row r="29" spans="1:10">
      <c r="A29" s="39"/>
      <c r="B29" s="34"/>
      <c r="C29" s="32" t="s">
        <v>31</v>
      </c>
      <c r="D29" s="32" t="s">
        <v>29</v>
      </c>
      <c r="E29" s="32" t="s">
        <v>22</v>
      </c>
      <c r="F29" s="89" t="str">
        <f t="shared" si="2"/>
        <v>Customer Order Management ChangesOPEX</v>
      </c>
      <c r="G29" s="120">
        <f ca="1">G28*G26</f>
        <v>0</v>
      </c>
      <c r="H29" s="120">
        <f t="shared" ref="H29:I29" ca="1" si="3">H28*H26</f>
        <v>18000</v>
      </c>
      <c r="I29" s="120">
        <f t="shared" ca="1" si="3"/>
        <v>29000</v>
      </c>
      <c r="J29" s="31"/>
    </row>
    <row r="30" spans="1:10">
      <c r="A30" s="39"/>
      <c r="B30" s="34"/>
      <c r="G30" s="97"/>
      <c r="H30" s="97"/>
      <c r="I30" s="97"/>
      <c r="J30" s="61"/>
    </row>
    <row r="31" spans="1:10">
      <c r="A31" s="39"/>
      <c r="B31" s="34"/>
      <c r="C31" s="141" t="s">
        <v>32</v>
      </c>
      <c r="D31" s="146"/>
      <c r="E31" s="146"/>
      <c r="F31" s="147"/>
      <c r="G31" s="148"/>
      <c r="H31" s="148"/>
      <c r="I31" s="148"/>
    </row>
    <row r="32" spans="1:10">
      <c r="A32" s="39"/>
      <c r="B32" s="34"/>
    </row>
    <row r="33" spans="1:10">
      <c r="A33" s="39"/>
      <c r="B33" s="34"/>
      <c r="C33" s="32" t="s">
        <v>32</v>
      </c>
      <c r="D33" s="32" t="s">
        <v>56</v>
      </c>
      <c r="E33" s="32" t="s">
        <v>57</v>
      </c>
      <c r="F33" s="89" t="str">
        <f t="shared" si="2"/>
        <v>Service Order Management ChangesCAPEX_INPUT</v>
      </c>
      <c r="G33" s="96">
        <f>'Independent Cost Inputs'!AR28</f>
        <v>0</v>
      </c>
      <c r="H33" s="96">
        <f>'Independent Cost Inputs'!AS28</f>
        <v>30</v>
      </c>
      <c r="I33" s="96">
        <f>'Independent Cost Inputs'!AT28</f>
        <v>120</v>
      </c>
    </row>
    <row r="34" spans="1:10">
      <c r="A34" s="39"/>
      <c r="B34" s="34"/>
      <c r="C34" s="32" t="s">
        <v>32</v>
      </c>
      <c r="D34" s="32" t="s">
        <v>29</v>
      </c>
      <c r="E34" s="32" t="s">
        <v>57</v>
      </c>
      <c r="F34" s="89" t="str">
        <f t="shared" si="2"/>
        <v>Service Order Management ChangesCAPEX_INPUT</v>
      </c>
      <c r="G34" s="96">
        <f>'Independent Cost Inputs'!AR29</f>
        <v>0</v>
      </c>
      <c r="H34" s="96">
        <f>'Independent Cost Inputs'!AS29</f>
        <v>10000</v>
      </c>
      <c r="I34" s="96">
        <f>'Independent Cost Inputs'!AT29</f>
        <v>40000</v>
      </c>
    </row>
    <row r="35" spans="1:10">
      <c r="A35" s="39"/>
      <c r="B35" s="34"/>
      <c r="C35" s="32" t="s">
        <v>32</v>
      </c>
      <c r="D35" s="32" t="s">
        <v>29</v>
      </c>
      <c r="E35" s="32" t="s">
        <v>21</v>
      </c>
      <c r="F35" s="89" t="str">
        <f t="shared" si="2"/>
        <v>Service Order Management ChangesCAPEX</v>
      </c>
      <c r="G35" s="120">
        <f ca="1">(G33*Day_Rate)+G34</f>
        <v>0</v>
      </c>
      <c r="H35" s="120">
        <f ca="1">(H33*Day_Rate)+H34</f>
        <v>25000</v>
      </c>
      <c r="I35" s="120">
        <f ca="1">(I33*Day_Rate)+I34</f>
        <v>100000</v>
      </c>
    </row>
    <row r="36" spans="1:10">
      <c r="A36" s="39"/>
      <c r="B36" s="34"/>
      <c r="J36" s="31"/>
    </row>
    <row r="37" spans="1:10">
      <c r="A37" s="39"/>
      <c r="B37" s="34"/>
      <c r="C37" s="32" t="s">
        <v>32</v>
      </c>
      <c r="D37" s="32" t="s">
        <v>58</v>
      </c>
      <c r="E37" s="60" t="s">
        <v>59</v>
      </c>
      <c r="F37" s="89" t="str">
        <f t="shared" si="2"/>
        <v>Service Order Management ChangesOPEX_INPUT</v>
      </c>
      <c r="G37" s="98">
        <f ca="1">'Independent Cost Inputs'!AR30</f>
        <v>0.2</v>
      </c>
      <c r="H37" s="98">
        <f ca="1">'Independent Cost Inputs'!AS30</f>
        <v>0.2</v>
      </c>
      <c r="I37" s="98">
        <f ca="1">'Independent Cost Inputs'!AT30</f>
        <v>0.2</v>
      </c>
      <c r="J37" s="61"/>
    </row>
    <row r="38" spans="1:10">
      <c r="A38" s="39"/>
      <c r="B38" s="34"/>
      <c r="C38" s="32" t="s">
        <v>32</v>
      </c>
      <c r="D38" s="32" t="s">
        <v>29</v>
      </c>
      <c r="E38" s="32" t="s">
        <v>22</v>
      </c>
      <c r="F38" s="89" t="str">
        <f t="shared" si="2"/>
        <v>Service Order Management ChangesOPEX</v>
      </c>
      <c r="G38" s="122">
        <f ca="1">G37*G35</f>
        <v>0</v>
      </c>
      <c r="H38" s="122">
        <f t="shared" ref="H38:I38" ca="1" si="4">H37*H35</f>
        <v>5000</v>
      </c>
      <c r="I38" s="122">
        <f t="shared" ca="1" si="4"/>
        <v>20000</v>
      </c>
      <c r="J38" s="31"/>
    </row>
    <row r="39" spans="1:10">
      <c r="A39" s="39"/>
      <c r="B39" s="34"/>
      <c r="J39" s="61"/>
    </row>
    <row r="40" spans="1:10">
      <c r="A40" s="39"/>
      <c r="B40" s="34"/>
      <c r="C40" s="141" t="s">
        <v>33</v>
      </c>
      <c r="D40" s="141"/>
      <c r="E40" s="141"/>
      <c r="F40" s="141"/>
      <c r="G40" s="143"/>
      <c r="H40" s="143"/>
      <c r="I40" s="143"/>
    </row>
    <row r="41" spans="1:10">
      <c r="A41" s="39"/>
      <c r="B41" s="34"/>
    </row>
    <row r="42" spans="1:10">
      <c r="A42" s="39"/>
      <c r="B42" s="34"/>
      <c r="C42" s="32" t="s">
        <v>33</v>
      </c>
      <c r="D42" s="32" t="s">
        <v>56</v>
      </c>
      <c r="E42" s="32" t="s">
        <v>57</v>
      </c>
      <c r="F42" s="89" t="str">
        <f t="shared" si="2"/>
        <v>Partner Management ChangesCAPEX_INPUT</v>
      </c>
      <c r="G42" s="96">
        <f>'Independent Cost Inputs'!AR31</f>
        <v>0</v>
      </c>
      <c r="H42" s="96">
        <f>'Independent Cost Inputs'!AS31</f>
        <v>70</v>
      </c>
      <c r="I42" s="96">
        <f>'Independent Cost Inputs'!AT31</f>
        <v>150</v>
      </c>
    </row>
    <row r="43" spans="1:10">
      <c r="A43" s="39"/>
      <c r="B43" s="34"/>
      <c r="C43" s="32" t="s">
        <v>33</v>
      </c>
      <c r="D43" s="32" t="s">
        <v>29</v>
      </c>
      <c r="E43" s="32" t="s">
        <v>57</v>
      </c>
      <c r="F43" s="89" t="str">
        <f t="shared" si="2"/>
        <v>Partner Management ChangesCAPEX_INPUT</v>
      </c>
      <c r="G43" s="96">
        <f>'Independent Cost Inputs'!AR32</f>
        <v>0</v>
      </c>
      <c r="H43" s="96">
        <f>'Independent Cost Inputs'!AS32</f>
        <v>0</v>
      </c>
      <c r="I43" s="96">
        <f>'Independent Cost Inputs'!AT32</f>
        <v>0</v>
      </c>
    </row>
    <row r="44" spans="1:10">
      <c r="A44" s="39"/>
      <c r="B44" s="34"/>
      <c r="C44" s="32" t="s">
        <v>33</v>
      </c>
      <c r="D44" s="32" t="s">
        <v>29</v>
      </c>
      <c r="E44" s="32" t="s">
        <v>21</v>
      </c>
      <c r="F44" s="89" t="str">
        <f t="shared" si="2"/>
        <v>Partner Management ChangesCAPEX</v>
      </c>
      <c r="G44" s="120">
        <f ca="1">(G42*Day_Rate)+G43</f>
        <v>0</v>
      </c>
      <c r="H44" s="120">
        <f ca="1">(H42*Day_Rate)+H43</f>
        <v>35000</v>
      </c>
      <c r="I44" s="120">
        <f ca="1">(I42*Day_Rate)+I43</f>
        <v>75000</v>
      </c>
    </row>
    <row r="45" spans="1:10">
      <c r="A45" s="39"/>
      <c r="B45" s="34"/>
      <c r="J45" s="31"/>
    </row>
    <row r="46" spans="1:10">
      <c r="A46" s="39"/>
      <c r="B46" s="34"/>
      <c r="C46" s="32" t="s">
        <v>33</v>
      </c>
      <c r="D46" s="32" t="s">
        <v>58</v>
      </c>
      <c r="E46" s="60" t="s">
        <v>59</v>
      </c>
      <c r="F46" s="89" t="str">
        <f t="shared" si="2"/>
        <v>Partner Management ChangesOPEX_INPUT</v>
      </c>
      <c r="G46" s="98">
        <f ca="1">'Independent Cost Inputs'!AR33</f>
        <v>0.2</v>
      </c>
      <c r="H46" s="98">
        <f ca="1">'Independent Cost Inputs'!AS33</f>
        <v>0.2</v>
      </c>
      <c r="I46" s="98">
        <f ca="1">'Independent Cost Inputs'!AT33</f>
        <v>0.2</v>
      </c>
      <c r="J46" s="61"/>
    </row>
    <row r="47" spans="1:10">
      <c r="A47" s="39"/>
      <c r="B47" s="34"/>
      <c r="C47" s="32" t="s">
        <v>33</v>
      </c>
      <c r="D47" s="32" t="s">
        <v>29</v>
      </c>
      <c r="E47" s="32" t="s">
        <v>22</v>
      </c>
      <c r="F47" s="89" t="str">
        <f t="shared" si="2"/>
        <v>Partner Management ChangesOPEX</v>
      </c>
      <c r="G47" s="120">
        <f ca="1">G46*G44</f>
        <v>0</v>
      </c>
      <c r="H47" s="120">
        <f t="shared" ref="H47:I47" ca="1" si="5">H46*H44</f>
        <v>7000</v>
      </c>
      <c r="I47" s="120">
        <f t="shared" ca="1" si="5"/>
        <v>15000</v>
      </c>
    </row>
    <row r="48" spans="1:10">
      <c r="A48" s="39"/>
      <c r="B48" s="34"/>
    </row>
    <row r="49" spans="1:9">
      <c r="A49" s="39"/>
      <c r="B49" s="34"/>
      <c r="C49" s="141" t="s">
        <v>34</v>
      </c>
      <c r="D49" s="141"/>
      <c r="E49" s="141"/>
      <c r="F49" s="141"/>
      <c r="G49" s="143"/>
      <c r="H49" s="143"/>
      <c r="I49" s="143"/>
    </row>
    <row r="50" spans="1:9">
      <c r="A50" s="39"/>
      <c r="B50" s="34"/>
    </row>
    <row r="51" spans="1:9">
      <c r="A51" s="39"/>
      <c r="B51" s="34"/>
      <c r="C51" s="32" t="s">
        <v>34</v>
      </c>
      <c r="D51" s="32" t="s">
        <v>56</v>
      </c>
      <c r="E51" s="32" t="s">
        <v>57</v>
      </c>
      <c r="F51" s="89" t="str">
        <f t="shared" si="2"/>
        <v>Customer Problem Management ChangesCAPEX_INPUT</v>
      </c>
      <c r="G51" s="96">
        <f>'Independent Cost Inputs'!AR34</f>
        <v>0</v>
      </c>
      <c r="H51" s="96">
        <f>'Independent Cost Inputs'!AS34</f>
        <v>70</v>
      </c>
      <c r="I51" s="96">
        <f>'Independent Cost Inputs'!AT34</f>
        <v>150</v>
      </c>
    </row>
    <row r="52" spans="1:9">
      <c r="A52" s="39"/>
      <c r="B52" s="34"/>
      <c r="C52" s="32" t="s">
        <v>34</v>
      </c>
      <c r="D52" s="32" t="s">
        <v>29</v>
      </c>
      <c r="E52" s="32" t="s">
        <v>57</v>
      </c>
      <c r="F52" s="89" t="str">
        <f t="shared" si="2"/>
        <v>Customer Problem Management ChangesCAPEX_INPUT</v>
      </c>
      <c r="G52" s="96">
        <f>'Independent Cost Inputs'!AR35</f>
        <v>0</v>
      </c>
      <c r="H52" s="96">
        <f>'Independent Cost Inputs'!AS35</f>
        <v>0</v>
      </c>
      <c r="I52" s="96">
        <f>'Independent Cost Inputs'!AT35</f>
        <v>0</v>
      </c>
    </row>
    <row r="53" spans="1:9">
      <c r="A53" s="39"/>
      <c r="B53" s="34"/>
      <c r="C53" s="32" t="s">
        <v>34</v>
      </c>
      <c r="D53" s="32" t="s">
        <v>29</v>
      </c>
      <c r="E53" s="32" t="s">
        <v>21</v>
      </c>
      <c r="F53" s="89" t="str">
        <f t="shared" si="2"/>
        <v>Customer Problem Management ChangesCAPEX</v>
      </c>
      <c r="G53" s="120">
        <f ca="1">(G51*Day_Rate)+G52</f>
        <v>0</v>
      </c>
      <c r="H53" s="120">
        <f ca="1">(H51*Day_Rate)+H52</f>
        <v>35000</v>
      </c>
      <c r="I53" s="120">
        <f ca="1">(I51*Day_Rate)+I52</f>
        <v>75000</v>
      </c>
    </row>
    <row r="54" spans="1:9">
      <c r="A54" s="39"/>
      <c r="B54" s="34"/>
    </row>
    <row r="55" spans="1:9">
      <c r="A55" s="39"/>
      <c r="B55" s="34"/>
      <c r="C55" s="32" t="s">
        <v>34</v>
      </c>
      <c r="D55" s="32" t="s">
        <v>58</v>
      </c>
      <c r="E55" s="60" t="s">
        <v>59</v>
      </c>
      <c r="F55" s="89" t="str">
        <f t="shared" si="2"/>
        <v>Customer Problem Management ChangesOPEX_INPUT</v>
      </c>
      <c r="G55" s="98">
        <f ca="1">'Independent Cost Inputs'!AR36</f>
        <v>0.2</v>
      </c>
      <c r="H55" s="98">
        <f ca="1">'Independent Cost Inputs'!AS36</f>
        <v>0.2</v>
      </c>
      <c r="I55" s="98">
        <f ca="1">'Independent Cost Inputs'!AT36</f>
        <v>0.2</v>
      </c>
    </row>
    <row r="56" spans="1:9">
      <c r="A56" s="39"/>
      <c r="B56" s="34"/>
      <c r="C56" s="32" t="s">
        <v>34</v>
      </c>
      <c r="D56" s="32" t="s">
        <v>29</v>
      </c>
      <c r="E56" s="32" t="s">
        <v>22</v>
      </c>
      <c r="F56" s="89" t="str">
        <f t="shared" si="2"/>
        <v>Customer Problem Management ChangesOPEX</v>
      </c>
      <c r="G56" s="120">
        <f ca="1">G55*G53</f>
        <v>0</v>
      </c>
      <c r="H56" s="120">
        <f t="shared" ref="H56:I56" ca="1" si="6">H55*H53</f>
        <v>7000</v>
      </c>
      <c r="I56" s="120">
        <f t="shared" ca="1" si="6"/>
        <v>15000</v>
      </c>
    </row>
    <row r="57" spans="1:9">
      <c r="A57" s="39"/>
      <c r="B57" s="34"/>
    </row>
    <row r="58" spans="1:9">
      <c r="A58" s="39"/>
      <c r="B58" s="34"/>
      <c r="C58" s="141" t="s">
        <v>35</v>
      </c>
      <c r="D58" s="141"/>
      <c r="E58" s="141"/>
      <c r="F58" s="141"/>
      <c r="G58" s="143"/>
      <c r="H58" s="143"/>
      <c r="I58" s="143"/>
    </row>
    <row r="59" spans="1:9">
      <c r="A59" s="39"/>
      <c r="B59" s="34"/>
    </row>
    <row r="60" spans="1:9">
      <c r="A60" s="39"/>
      <c r="B60" s="34"/>
      <c r="C60" s="32" t="s">
        <v>35</v>
      </c>
      <c r="D60" s="32" t="s">
        <v>56</v>
      </c>
      <c r="E60" s="32" t="s">
        <v>57</v>
      </c>
      <c r="F60" s="89" t="str">
        <f t="shared" si="2"/>
        <v>Service Problem Management ChangesCAPEX_INPUT</v>
      </c>
      <c r="G60" s="96">
        <f>'Independent Cost Inputs'!AR37</f>
        <v>0</v>
      </c>
      <c r="H60" s="96">
        <f>'Independent Cost Inputs'!AS37</f>
        <v>10</v>
      </c>
      <c r="I60" s="96">
        <f>'Independent Cost Inputs'!AT37</f>
        <v>40</v>
      </c>
    </row>
    <row r="61" spans="1:9">
      <c r="A61" s="39"/>
      <c r="B61" s="34"/>
      <c r="C61" s="32" t="s">
        <v>35</v>
      </c>
      <c r="D61" s="32" t="s">
        <v>29</v>
      </c>
      <c r="E61" s="32" t="s">
        <v>57</v>
      </c>
      <c r="F61" s="89" t="str">
        <f t="shared" si="2"/>
        <v>Service Problem Management ChangesCAPEX_INPUT</v>
      </c>
      <c r="G61" s="96">
        <f>'Independent Cost Inputs'!AR38</f>
        <v>0</v>
      </c>
      <c r="H61" s="96">
        <f>'Independent Cost Inputs'!AS38</f>
        <v>0</v>
      </c>
      <c r="I61" s="96">
        <f>'Independent Cost Inputs'!AT38</f>
        <v>0</v>
      </c>
    </row>
    <row r="62" spans="1:9">
      <c r="A62" s="39"/>
      <c r="B62" s="34"/>
      <c r="C62" s="32" t="s">
        <v>35</v>
      </c>
      <c r="D62" s="32" t="s">
        <v>29</v>
      </c>
      <c r="E62" s="32" t="s">
        <v>21</v>
      </c>
      <c r="F62" s="89" t="str">
        <f t="shared" si="2"/>
        <v>Service Problem Management ChangesCAPEX</v>
      </c>
      <c r="G62" s="120">
        <f ca="1">(G60*Day_Rate)+G61</f>
        <v>0</v>
      </c>
      <c r="H62" s="120">
        <f ca="1">(H60*Day_Rate)+H61</f>
        <v>5000</v>
      </c>
      <c r="I62" s="120">
        <f ca="1">(I60*Day_Rate)+I61</f>
        <v>20000</v>
      </c>
    </row>
    <row r="63" spans="1:9">
      <c r="A63" s="39"/>
      <c r="B63" s="34"/>
    </row>
    <row r="64" spans="1:9">
      <c r="A64" s="39"/>
      <c r="B64" s="34"/>
      <c r="C64" s="32" t="s">
        <v>35</v>
      </c>
      <c r="D64" s="32" t="s">
        <v>58</v>
      </c>
      <c r="E64" s="60" t="s">
        <v>59</v>
      </c>
      <c r="F64" s="89" t="str">
        <f t="shared" si="2"/>
        <v>Service Problem Management ChangesOPEX_INPUT</v>
      </c>
      <c r="G64" s="98">
        <f ca="1">'Independent Cost Inputs'!AR39</f>
        <v>0.2</v>
      </c>
      <c r="H64" s="98">
        <f ca="1">'Independent Cost Inputs'!AS39</f>
        <v>0.2</v>
      </c>
      <c r="I64" s="98">
        <f ca="1">'Independent Cost Inputs'!AT39</f>
        <v>0.2</v>
      </c>
    </row>
    <row r="65" spans="1:9">
      <c r="A65" s="39"/>
      <c r="B65" s="34"/>
      <c r="C65" s="32" t="s">
        <v>35</v>
      </c>
      <c r="D65" s="32" t="s">
        <v>29</v>
      </c>
      <c r="E65" s="32" t="s">
        <v>22</v>
      </c>
      <c r="F65" s="89" t="str">
        <f t="shared" si="2"/>
        <v>Service Problem Management ChangesOPEX</v>
      </c>
      <c r="G65" s="120">
        <f ca="1">G64*G62</f>
        <v>0</v>
      </c>
      <c r="H65" s="120">
        <f t="shared" ref="H65:I65" ca="1" si="7">H64*H62</f>
        <v>1000</v>
      </c>
      <c r="I65" s="120">
        <f t="shared" ca="1" si="7"/>
        <v>4000</v>
      </c>
    </row>
    <row r="66" spans="1:9">
      <c r="A66" s="39"/>
      <c r="B66" s="39"/>
    </row>
    <row r="67" spans="1:9">
      <c r="A67" s="39"/>
      <c r="B67" s="39"/>
      <c r="C67" s="141" t="s">
        <v>312</v>
      </c>
      <c r="D67" s="141"/>
      <c r="E67" s="141"/>
      <c r="F67" s="141"/>
      <c r="G67" s="143"/>
      <c r="H67" s="143"/>
      <c r="I67" s="143"/>
    </row>
    <row r="68" spans="1:9">
      <c r="A68" s="39"/>
      <c r="B68" s="39"/>
      <c r="F68" s="89"/>
    </row>
    <row r="69" spans="1:9">
      <c r="A69" s="39"/>
      <c r="B69" s="39"/>
      <c r="C69" s="32" t="s">
        <v>312</v>
      </c>
      <c r="D69" s="32" t="s">
        <v>56</v>
      </c>
      <c r="E69" s="32" t="s">
        <v>57</v>
      </c>
      <c r="F69" s="89" t="str">
        <f t="shared" si="2"/>
        <v>Transactional Document ProductionCAPEX_INPUT</v>
      </c>
      <c r="G69" s="96">
        <f>'Independent Cost Inputs'!AR40</f>
        <v>0</v>
      </c>
      <c r="H69" s="96">
        <f>'Independent Cost Inputs'!AS40</f>
        <v>0</v>
      </c>
      <c r="I69" s="96">
        <f>'Independent Cost Inputs'!AT40</f>
        <v>0</v>
      </c>
    </row>
    <row r="70" spans="1:9">
      <c r="A70" s="39"/>
      <c r="B70" s="39"/>
      <c r="C70" s="32" t="s">
        <v>312</v>
      </c>
      <c r="D70" s="32" t="s">
        <v>29</v>
      </c>
      <c r="E70" s="32" t="s">
        <v>57</v>
      </c>
      <c r="F70" s="89" t="str">
        <f t="shared" si="2"/>
        <v>Transactional Document ProductionCAPEX_INPUT</v>
      </c>
      <c r="G70" s="96">
        <f>'Independent Cost Inputs'!AR41</f>
        <v>0</v>
      </c>
      <c r="H70" s="96">
        <f>'Independent Cost Inputs'!AS41</f>
        <v>0</v>
      </c>
      <c r="I70" s="96">
        <f>'Independent Cost Inputs'!AT41</f>
        <v>0</v>
      </c>
    </row>
    <row r="71" spans="1:9">
      <c r="A71" s="39"/>
      <c r="B71" s="39"/>
      <c r="C71" s="32" t="s">
        <v>312</v>
      </c>
      <c r="D71" s="32" t="s">
        <v>29</v>
      </c>
      <c r="E71" s="32" t="s">
        <v>21</v>
      </c>
      <c r="F71" s="89" t="str">
        <f t="shared" si="2"/>
        <v>Transactional Document ProductionCAPEX</v>
      </c>
      <c r="G71" s="120">
        <f ca="1">(G69*Day_Rate)+G70</f>
        <v>0</v>
      </c>
      <c r="H71" s="120">
        <f ca="1">(H69*Day_Rate)+H70</f>
        <v>0</v>
      </c>
      <c r="I71" s="120">
        <f ca="1">(I69*Day_Rate)+I70</f>
        <v>0</v>
      </c>
    </row>
    <row r="72" spans="1:9">
      <c r="A72" s="39"/>
      <c r="B72" s="39"/>
      <c r="F72" s="89"/>
    </row>
    <row r="73" spans="1:9">
      <c r="A73" s="39"/>
      <c r="B73" s="39"/>
      <c r="C73" s="32" t="s">
        <v>312</v>
      </c>
      <c r="D73" s="32" t="s">
        <v>58</v>
      </c>
      <c r="E73" s="60" t="s">
        <v>59</v>
      </c>
      <c r="F73" s="89" t="str">
        <f t="shared" si="2"/>
        <v>Transactional Document ProductionOPEX_INPUT</v>
      </c>
      <c r="G73" s="98">
        <f>'Independent Cost Inputs'!AR42</f>
        <v>0</v>
      </c>
      <c r="H73" s="98">
        <f>'Independent Cost Inputs'!AS42</f>
        <v>0</v>
      </c>
      <c r="I73" s="98">
        <f>'Independent Cost Inputs'!AT42</f>
        <v>0</v>
      </c>
    </row>
    <row r="74" spans="1:9">
      <c r="C74" s="32" t="s">
        <v>312</v>
      </c>
      <c r="D74" s="32" t="s">
        <v>29</v>
      </c>
      <c r="E74" s="32" t="s">
        <v>22</v>
      </c>
      <c r="F74" s="89" t="str">
        <f t="shared" si="2"/>
        <v>Transactional Document ProductionOPEX</v>
      </c>
      <c r="G74" s="120">
        <f ca="1">G73*G71</f>
        <v>0</v>
      </c>
      <c r="H74" s="120">
        <f ca="1">H73*H71</f>
        <v>0</v>
      </c>
      <c r="I74" s="120">
        <f ca="1">I73*I71</f>
        <v>0</v>
      </c>
    </row>
    <row r="75" spans="1:9">
      <c r="F75" s="89"/>
    </row>
    <row r="76" spans="1:9">
      <c r="C76" s="141" t="s">
        <v>313</v>
      </c>
      <c r="D76" s="141"/>
      <c r="E76" s="141"/>
      <c r="F76" s="141"/>
      <c r="G76" s="143"/>
      <c r="H76" s="143"/>
      <c r="I76" s="143"/>
    </row>
    <row r="77" spans="1:9">
      <c r="F77" s="89"/>
    </row>
    <row r="78" spans="1:9">
      <c r="C78" s="32" t="s">
        <v>313</v>
      </c>
      <c r="D78" s="32" t="s">
        <v>56</v>
      </c>
      <c r="E78" s="32" t="s">
        <v>57</v>
      </c>
      <c r="F78" s="89" t="str">
        <f t="shared" si="2"/>
        <v>Customer Self ManagementCAPEX_INPUT</v>
      </c>
      <c r="G78" s="96">
        <f>'Independent Cost Inputs'!AR43</f>
        <v>0</v>
      </c>
      <c r="H78" s="96">
        <f>'Independent Cost Inputs'!AS43</f>
        <v>60</v>
      </c>
      <c r="I78" s="96">
        <f>'Independent Cost Inputs'!AT43</f>
        <v>120</v>
      </c>
    </row>
    <row r="79" spans="1:9">
      <c r="C79" s="32" t="s">
        <v>313</v>
      </c>
      <c r="D79" s="32" t="s">
        <v>29</v>
      </c>
      <c r="E79" s="32" t="s">
        <v>57</v>
      </c>
      <c r="F79" s="89" t="str">
        <f t="shared" si="2"/>
        <v>Customer Self ManagementCAPEX_INPUT</v>
      </c>
      <c r="G79" s="96">
        <f>'Independent Cost Inputs'!AR44</f>
        <v>0</v>
      </c>
      <c r="H79" s="96">
        <f>'Independent Cost Inputs'!AS44</f>
        <v>0</v>
      </c>
      <c r="I79" s="96">
        <f>'Independent Cost Inputs'!AT44</f>
        <v>0</v>
      </c>
    </row>
    <row r="80" spans="1:9">
      <c r="C80" s="32" t="s">
        <v>313</v>
      </c>
      <c r="D80" s="32" t="s">
        <v>29</v>
      </c>
      <c r="E80" s="32" t="s">
        <v>21</v>
      </c>
      <c r="F80" s="89" t="str">
        <f t="shared" si="2"/>
        <v>Customer Self ManagementCAPEX</v>
      </c>
      <c r="G80" s="120">
        <f ca="1">(G78*Day_Rate)+G79</f>
        <v>0</v>
      </c>
      <c r="H80" s="120">
        <f ca="1">(H78*Day_Rate)+H79</f>
        <v>30000</v>
      </c>
      <c r="I80" s="120">
        <f ca="1">(I78*Day_Rate)+I79</f>
        <v>60000</v>
      </c>
    </row>
    <row r="81" spans="3:9">
      <c r="F81" s="89"/>
    </row>
    <row r="82" spans="3:9">
      <c r="C82" s="32" t="s">
        <v>313</v>
      </c>
      <c r="D82" s="32" t="s">
        <v>58</v>
      </c>
      <c r="E82" s="60" t="s">
        <v>59</v>
      </c>
      <c r="F82" s="89" t="str">
        <f t="shared" si="2"/>
        <v>Customer Self ManagementOPEX_INPUT</v>
      </c>
      <c r="G82" s="98">
        <f ca="1">'Independent Cost Inputs'!AR45</f>
        <v>0.2</v>
      </c>
      <c r="H82" s="98">
        <f ca="1">'Independent Cost Inputs'!AS45</f>
        <v>0.2</v>
      </c>
      <c r="I82" s="98">
        <f ca="1">'Independent Cost Inputs'!AT45</f>
        <v>0.2</v>
      </c>
    </row>
    <row r="83" spans="3:9">
      <c r="C83" s="32" t="s">
        <v>313</v>
      </c>
      <c r="D83" s="32" t="s">
        <v>29</v>
      </c>
      <c r="E83" s="32" t="s">
        <v>22</v>
      </c>
      <c r="F83" s="89" t="str">
        <f t="shared" si="2"/>
        <v>Customer Self ManagementOPEX</v>
      </c>
      <c r="G83" s="120">
        <f ca="1">G82*G80</f>
        <v>0</v>
      </c>
      <c r="H83" s="120">
        <f ca="1">H82*H80</f>
        <v>6000</v>
      </c>
      <c r="I83" s="120">
        <f ca="1">I82*I80</f>
        <v>12000</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codeName="Sheet34"/>
  <dimension ref="A2:J115"/>
  <sheetViews>
    <sheetView showGridLines="0" zoomScale="70" zoomScaleNormal="70" workbookViewId="0">
      <selection activeCell="E1" sqref="E1:G1048576"/>
    </sheetView>
  </sheetViews>
  <sheetFormatPr defaultColWidth="9.140625" defaultRowHeight="12.75"/>
  <cols>
    <col min="1" max="1" width="3.5703125" style="30" customWidth="1"/>
    <col min="2" max="2" width="9.140625" style="30"/>
    <col min="3" max="3" width="34" style="32" customWidth="1"/>
    <col min="4" max="4" width="10" style="32" customWidth="1"/>
    <col min="5" max="5" width="15.42578125" style="32" customWidth="1"/>
    <col min="6" max="6" width="33.28515625" style="50" hidden="1" customWidth="1"/>
    <col min="7" max="9" width="16" style="32" customWidth="1"/>
    <col min="10" max="10" width="46.140625" style="30" customWidth="1"/>
    <col min="11" max="16384" width="9.140625" style="30"/>
  </cols>
  <sheetData>
    <row r="2" spans="2:10">
      <c r="B2" s="30" t="s">
        <v>0</v>
      </c>
      <c r="C2" s="49" t="str">
        <f ca="1">MID(CELL("filename",A1),FIND("]",CELL("filename",A1))+1,256)</f>
        <v>LPL - Central Costs</v>
      </c>
    </row>
    <row r="3" spans="2:10">
      <c r="B3" s="30" t="s">
        <v>1</v>
      </c>
      <c r="C3" s="50" t="s">
        <v>51</v>
      </c>
    </row>
    <row r="5" spans="2:10" s="51" customFormat="1">
      <c r="B5" s="51" t="s">
        <v>18</v>
      </c>
      <c r="C5" s="52" t="s">
        <v>19</v>
      </c>
      <c r="D5" s="52" t="s">
        <v>20</v>
      </c>
      <c r="E5" s="52" t="s">
        <v>52</v>
      </c>
      <c r="F5" s="53" t="s">
        <v>53</v>
      </c>
      <c r="G5" s="124" t="s">
        <v>50</v>
      </c>
      <c r="H5" s="124" t="s">
        <v>131</v>
      </c>
      <c r="I5" s="124" t="s">
        <v>23</v>
      </c>
    </row>
    <row r="7" spans="2:10">
      <c r="B7" s="31" t="s">
        <v>4</v>
      </c>
      <c r="C7" s="32" t="s">
        <v>21</v>
      </c>
      <c r="G7" s="125">
        <f ca="1">SUMIF($E$11:$E$201,"CAPEX",G11:G201)</f>
        <v>287500</v>
      </c>
      <c r="H7" s="125">
        <f t="shared" ref="H7:I7" ca="1" si="0">SUMIF($E$11:$E$201,"CAPEX",H11:H201)</f>
        <v>325000</v>
      </c>
      <c r="I7" s="125">
        <f t="shared" ca="1" si="0"/>
        <v>437500</v>
      </c>
    </row>
    <row r="8" spans="2:10">
      <c r="B8" s="39"/>
      <c r="C8" s="32" t="s">
        <v>22</v>
      </c>
      <c r="G8" s="125">
        <f ca="1">SUMIF($E$11:$E$201,"OPEX",G11:G201)</f>
        <v>323750</v>
      </c>
      <c r="H8" s="125">
        <f t="shared" ref="H8:I8" ca="1" si="1">SUMIF($E$11:$E$201,"OPEX",H11:H201)</f>
        <v>500000</v>
      </c>
      <c r="I8" s="125">
        <f t="shared" ca="1" si="1"/>
        <v>695000</v>
      </c>
    </row>
    <row r="9" spans="2:10">
      <c r="B9" s="34"/>
      <c r="C9" s="141" t="s">
        <v>43</v>
      </c>
      <c r="D9" s="141"/>
      <c r="E9" s="141"/>
      <c r="F9" s="142"/>
      <c r="G9" s="141"/>
      <c r="H9" s="141"/>
      <c r="I9" s="141"/>
    </row>
    <row r="10" spans="2:10" s="39" customFormat="1">
      <c r="C10" s="34"/>
      <c r="D10" s="34"/>
      <c r="E10" s="34"/>
      <c r="F10" s="55"/>
      <c r="G10" s="34"/>
      <c r="H10" s="34"/>
      <c r="I10" s="34"/>
    </row>
    <row r="11" spans="2:10">
      <c r="B11" s="39"/>
      <c r="C11" s="32" t="s">
        <v>43</v>
      </c>
      <c r="D11" s="32" t="s">
        <v>56</v>
      </c>
      <c r="E11" s="32" t="s">
        <v>57</v>
      </c>
      <c r="F11" s="50" t="str">
        <f t="shared" ref="F11:F17" si="2">C11&amp;E11</f>
        <v>TxCIA System CostsCAPEX_INPUT</v>
      </c>
      <c r="G11" s="96">
        <f>'Independent Cost Inputs'!AR54</f>
        <v>275</v>
      </c>
      <c r="H11" s="96">
        <f>'Independent Cost Inputs'!AS54</f>
        <v>300</v>
      </c>
      <c r="I11" s="96">
        <f>'Independent Cost Inputs'!AT54</f>
        <v>350</v>
      </c>
      <c r="J11" s="56"/>
    </row>
    <row r="12" spans="2:10">
      <c r="B12" s="39"/>
      <c r="C12" s="32" t="s">
        <v>43</v>
      </c>
      <c r="D12" s="32" t="s">
        <v>29</v>
      </c>
      <c r="E12" s="32" t="s">
        <v>57</v>
      </c>
      <c r="F12" s="50" t="str">
        <f t="shared" si="2"/>
        <v>TxCIA System CostsCAPEX_INPUT</v>
      </c>
      <c r="G12" s="96">
        <f>'Independent Cost Inputs'!AR55</f>
        <v>100000</v>
      </c>
      <c r="H12" s="96">
        <f>'Independent Cost Inputs'!AS55</f>
        <v>100000</v>
      </c>
      <c r="I12" s="96">
        <f>'Independent Cost Inputs'!AT55</f>
        <v>150000</v>
      </c>
      <c r="J12" s="56"/>
    </row>
    <row r="13" spans="2:10">
      <c r="B13" s="39"/>
      <c r="C13" s="32" t="s">
        <v>43</v>
      </c>
      <c r="D13" s="32" t="s">
        <v>29</v>
      </c>
      <c r="E13" s="32" t="s">
        <v>21</v>
      </c>
      <c r="F13" s="50" t="str">
        <f t="shared" si="2"/>
        <v>TxCIA System CostsCAPEX</v>
      </c>
      <c r="G13" s="120">
        <f ca="1">(G11*Day_Rate)+G12</f>
        <v>237500</v>
      </c>
      <c r="H13" s="120">
        <f ca="1">(H11*Day_Rate)+H12</f>
        <v>250000</v>
      </c>
      <c r="I13" s="120">
        <f ca="1">(I11*Day_Rate)+I12</f>
        <v>325000</v>
      </c>
      <c r="J13" s="56"/>
    </row>
    <row r="14" spans="2:10">
      <c r="B14" s="39"/>
      <c r="F14" s="50" t="str">
        <f t="shared" si="2"/>
        <v/>
      </c>
      <c r="G14" s="97"/>
      <c r="H14" s="97"/>
      <c r="I14" s="97"/>
      <c r="J14" s="58"/>
    </row>
    <row r="15" spans="2:10">
      <c r="B15" s="39"/>
      <c r="C15" s="32" t="s">
        <v>43</v>
      </c>
      <c r="D15" s="32" t="s">
        <v>58</v>
      </c>
      <c r="E15" s="32" t="s">
        <v>59</v>
      </c>
      <c r="F15" s="50" t="str">
        <f t="shared" si="2"/>
        <v>TxCIA System CostsOPEX_INPUT</v>
      </c>
      <c r="G15" s="98">
        <f>'Independent Cost Inputs'!AR56</f>
        <v>0.1</v>
      </c>
      <c r="H15" s="98">
        <f ca="1">'Independent Cost Inputs'!AS56</f>
        <v>0.2</v>
      </c>
      <c r="I15" s="98">
        <f>'Independent Cost Inputs'!AT56</f>
        <v>0.2</v>
      </c>
      <c r="J15" s="56"/>
    </row>
    <row r="16" spans="2:10">
      <c r="B16" s="39"/>
      <c r="C16" s="32" t="s">
        <v>43</v>
      </c>
      <c r="D16" s="32" t="s">
        <v>29</v>
      </c>
      <c r="E16" s="32" t="s">
        <v>22</v>
      </c>
      <c r="F16" s="50" t="str">
        <f t="shared" si="2"/>
        <v>TxCIA System CostsOPEX</v>
      </c>
      <c r="G16" s="121">
        <f ca="1">G15*G13</f>
        <v>23750</v>
      </c>
      <c r="H16" s="121">
        <f t="shared" ref="H16:I16" ca="1" si="3">H15*H13</f>
        <v>50000</v>
      </c>
      <c r="I16" s="121">
        <f t="shared" ca="1" si="3"/>
        <v>65000</v>
      </c>
      <c r="J16" s="58"/>
    </row>
    <row r="17" spans="1:10">
      <c r="A17" s="42"/>
      <c r="B17" s="42"/>
      <c r="F17" s="50" t="str">
        <f t="shared" si="2"/>
        <v/>
      </c>
      <c r="G17" s="95"/>
      <c r="H17" s="95"/>
      <c r="I17" s="95"/>
      <c r="J17" s="56"/>
    </row>
    <row r="18" spans="1:10">
      <c r="A18" s="42"/>
      <c r="B18" s="42"/>
      <c r="C18" s="141" t="s">
        <v>46</v>
      </c>
      <c r="D18" s="141"/>
      <c r="E18" s="141"/>
      <c r="F18" s="142"/>
      <c r="G18" s="141"/>
      <c r="H18" s="141"/>
      <c r="I18" s="141"/>
      <c r="J18" s="56"/>
    </row>
    <row r="19" spans="1:10">
      <c r="A19" s="42"/>
      <c r="B19" s="42"/>
      <c r="G19" s="95"/>
      <c r="H19" s="95"/>
      <c r="I19" s="95"/>
      <c r="J19" s="58"/>
    </row>
    <row r="20" spans="1:10">
      <c r="A20" s="42"/>
      <c r="B20" s="42"/>
      <c r="C20" s="34" t="s">
        <v>46</v>
      </c>
      <c r="D20" s="32" t="s">
        <v>61</v>
      </c>
      <c r="E20" s="32" t="s">
        <v>62</v>
      </c>
      <c r="F20" s="50" t="str">
        <f>C20&amp;E20</f>
        <v>TxCIA Process CostsCAPEX _INPUT</v>
      </c>
      <c r="G20" s="96">
        <f>'Independent Cost Inputs'!AR57</f>
        <v>10</v>
      </c>
      <c r="H20" s="96">
        <f>'Independent Cost Inputs'!AS57</f>
        <v>15</v>
      </c>
      <c r="I20" s="96">
        <f>'Independent Cost Inputs'!AT57</f>
        <v>15</v>
      </c>
      <c r="J20" s="56"/>
    </row>
    <row r="21" spans="1:10">
      <c r="A21" s="42"/>
      <c r="B21" s="42"/>
      <c r="C21" s="34" t="s">
        <v>46</v>
      </c>
      <c r="E21" s="32" t="s">
        <v>62</v>
      </c>
      <c r="F21" s="89"/>
      <c r="G21" s="96">
        <f>'Independent Cost Inputs'!H58</f>
        <v>10</v>
      </c>
      <c r="H21" s="96">
        <f>'Independent Cost Inputs'!I58</f>
        <v>10</v>
      </c>
      <c r="I21" s="96">
        <f>'Independent Cost Inputs'!J58</f>
        <v>15</v>
      </c>
      <c r="J21" s="56"/>
    </row>
    <row r="22" spans="1:10">
      <c r="B22" s="39"/>
      <c r="C22" s="34" t="s">
        <v>46</v>
      </c>
      <c r="D22" s="32" t="s">
        <v>29</v>
      </c>
      <c r="E22" s="32" t="s">
        <v>21</v>
      </c>
      <c r="F22" s="50" t="str">
        <f>C22&amp;E22</f>
        <v>TxCIA Process CostsCAPEX</v>
      </c>
      <c r="G22" s="120">
        <f ca="1">G20*Day_Rate*G21</f>
        <v>50000</v>
      </c>
      <c r="H22" s="120">
        <f ca="1">H20*Day_Rate*H21</f>
        <v>75000</v>
      </c>
      <c r="I22" s="120">
        <f ca="1">I20*Day_Rate*I21</f>
        <v>112500</v>
      </c>
      <c r="J22" s="56"/>
    </row>
    <row r="23" spans="1:10">
      <c r="B23" s="39"/>
      <c r="F23" s="50" t="str">
        <f>C23&amp;E23</f>
        <v/>
      </c>
      <c r="G23" s="95"/>
      <c r="H23" s="95"/>
      <c r="I23" s="95"/>
      <c r="J23" s="56"/>
    </row>
    <row r="24" spans="1:10">
      <c r="B24" s="39"/>
      <c r="C24" s="34" t="s">
        <v>46</v>
      </c>
      <c r="D24" s="32" t="s">
        <v>29</v>
      </c>
      <c r="E24" s="60" t="s">
        <v>59</v>
      </c>
      <c r="F24" s="50" t="str">
        <f>C24&amp;E24</f>
        <v>TxCIA Process CostsOPEX_INPUT</v>
      </c>
      <c r="G24" s="119">
        <f>'Independent Cost Inputs'!AR59</f>
        <v>0.5</v>
      </c>
      <c r="H24" s="119">
        <f>'Independent Cost Inputs'!AS59</f>
        <v>0.5</v>
      </c>
      <c r="I24" s="119">
        <f>'Independent Cost Inputs'!AT59</f>
        <v>0.7</v>
      </c>
    </row>
    <row r="25" spans="1:10">
      <c r="B25" s="39"/>
      <c r="C25" s="34" t="s">
        <v>46</v>
      </c>
      <c r="D25" s="32" t="s">
        <v>29</v>
      </c>
      <c r="E25" s="32" t="s">
        <v>22</v>
      </c>
      <c r="F25" s="50" t="str">
        <f>C25&amp;E25</f>
        <v>TxCIA Process CostsOPEX</v>
      </c>
      <c r="G25" s="120">
        <f ca="1">G20*G24*FTE_Cost</f>
        <v>300000</v>
      </c>
      <c r="H25" s="120">
        <f ca="1">H20*H24*FTE_Cost</f>
        <v>450000</v>
      </c>
      <c r="I25" s="120">
        <f ca="1">I20*I24*FTE_Cost</f>
        <v>630000</v>
      </c>
    </row>
    <row r="26" spans="1:10">
      <c r="B26" s="39"/>
    </row>
    <row r="27" spans="1:10">
      <c r="B27" s="39"/>
    </row>
    <row r="28" spans="1:10">
      <c r="B28" s="39"/>
    </row>
    <row r="29" spans="1:10">
      <c r="B29" s="39"/>
    </row>
    <row r="30" spans="1:10">
      <c r="B30" s="39"/>
    </row>
    <row r="31" spans="1:10" s="32" customFormat="1">
      <c r="A31" s="30"/>
      <c r="B31" s="30"/>
      <c r="F31" s="50"/>
      <c r="J31" s="30"/>
    </row>
    <row r="32" spans="1:10" s="32" customFormat="1">
      <c r="A32" s="30"/>
      <c r="B32" s="30"/>
      <c r="F32" s="50"/>
      <c r="J32" s="30"/>
    </row>
    <row r="33" spans="1:10" s="32" customFormat="1">
      <c r="A33" s="30"/>
      <c r="B33" s="30"/>
      <c r="F33" s="50"/>
      <c r="J33" s="30"/>
    </row>
    <row r="34" spans="1:10" s="32" customFormat="1">
      <c r="A34" s="30"/>
      <c r="B34" s="30"/>
      <c r="F34" s="50"/>
      <c r="J34" s="30"/>
    </row>
    <row r="35" spans="1:10" s="32" customFormat="1">
      <c r="A35" s="30"/>
      <c r="B35" s="30"/>
      <c r="F35" s="50"/>
      <c r="J35" s="30"/>
    </row>
    <row r="36" spans="1:10" s="32" customFormat="1">
      <c r="A36" s="30"/>
      <c r="B36" s="30"/>
      <c r="F36" s="50"/>
      <c r="J36" s="30"/>
    </row>
    <row r="37" spans="1:10" s="32" customFormat="1">
      <c r="A37" s="30"/>
      <c r="B37" s="30"/>
      <c r="F37" s="50"/>
      <c r="J37" s="30"/>
    </row>
    <row r="38" spans="1:10" s="32" customFormat="1">
      <c r="A38" s="30"/>
      <c r="B38" s="30"/>
      <c r="F38" s="50"/>
      <c r="J38" s="30"/>
    </row>
    <row r="39" spans="1:10" s="32" customFormat="1">
      <c r="A39" s="30"/>
      <c r="B39" s="30"/>
      <c r="F39" s="50"/>
      <c r="J39" s="30"/>
    </row>
    <row r="40" spans="1:10" s="32" customFormat="1">
      <c r="A40" s="30"/>
      <c r="B40" s="30"/>
      <c r="F40" s="50"/>
      <c r="J40" s="30"/>
    </row>
    <row r="41" spans="1:10" s="32" customFormat="1">
      <c r="A41" s="30"/>
      <c r="B41" s="30"/>
      <c r="F41" s="50"/>
      <c r="J41" s="30"/>
    </row>
    <row r="42" spans="1:10" s="32" customFormat="1">
      <c r="A42" s="30"/>
      <c r="B42" s="30"/>
      <c r="F42" s="50"/>
      <c r="J42" s="30"/>
    </row>
    <row r="43" spans="1:10" s="32" customFormat="1">
      <c r="A43" s="30"/>
      <c r="B43" s="30"/>
      <c r="F43" s="50"/>
      <c r="J43" s="30"/>
    </row>
    <row r="44" spans="1:10" s="32" customFormat="1">
      <c r="A44" s="30"/>
      <c r="B44" s="30"/>
      <c r="F44" s="50"/>
      <c r="J44" s="30"/>
    </row>
    <row r="45" spans="1:10" s="32" customFormat="1">
      <c r="A45" s="30"/>
      <c r="B45" s="30"/>
      <c r="F45" s="50"/>
      <c r="J45" s="30"/>
    </row>
    <row r="46" spans="1:10" s="32" customFormat="1">
      <c r="A46" s="30"/>
      <c r="B46" s="30"/>
      <c r="F46" s="50"/>
      <c r="J46" s="30"/>
    </row>
    <row r="47" spans="1:10" s="32" customFormat="1">
      <c r="A47" s="30"/>
      <c r="B47" s="30"/>
      <c r="F47" s="50"/>
      <c r="J47" s="30"/>
    </row>
    <row r="48" spans="1:10" s="32" customFormat="1">
      <c r="A48" s="30"/>
      <c r="B48" s="30"/>
      <c r="F48" s="50"/>
      <c r="J48" s="30"/>
    </row>
    <row r="49" spans="1:10" s="32" customFormat="1">
      <c r="A49" s="30"/>
      <c r="B49" s="30"/>
      <c r="F49" s="50"/>
      <c r="J49" s="30"/>
    </row>
    <row r="50" spans="1:10" s="32" customFormat="1">
      <c r="A50" s="30"/>
      <c r="B50" s="30"/>
      <c r="F50" s="50"/>
      <c r="J50" s="30"/>
    </row>
    <row r="51" spans="1:10" s="32" customFormat="1">
      <c r="A51" s="30"/>
      <c r="B51" s="30"/>
      <c r="F51" s="50"/>
      <c r="J51" s="30"/>
    </row>
    <row r="52" spans="1:10" s="32" customFormat="1">
      <c r="A52" s="30"/>
      <c r="B52" s="30"/>
      <c r="F52" s="50"/>
      <c r="J52" s="30"/>
    </row>
    <row r="53" spans="1:10" s="32" customFormat="1">
      <c r="A53" s="30"/>
      <c r="B53" s="30"/>
      <c r="F53" s="50"/>
      <c r="J53" s="30"/>
    </row>
    <row r="54" spans="1:10" s="32" customFormat="1">
      <c r="A54" s="30"/>
      <c r="B54" s="30"/>
      <c r="F54" s="50"/>
      <c r="J54" s="30"/>
    </row>
    <row r="55" spans="1:10" s="32" customFormat="1">
      <c r="A55" s="30"/>
      <c r="B55" s="30"/>
      <c r="F55" s="50"/>
      <c r="J55" s="30"/>
    </row>
    <row r="56" spans="1:10" s="32" customFormat="1">
      <c r="A56" s="30"/>
      <c r="B56" s="30"/>
      <c r="F56" s="50"/>
      <c r="J56" s="30"/>
    </row>
    <row r="57" spans="1:10" s="32" customFormat="1">
      <c r="A57" s="30"/>
      <c r="B57" s="30"/>
      <c r="F57" s="50"/>
      <c r="J57" s="30"/>
    </row>
    <row r="58" spans="1:10" s="32" customFormat="1">
      <c r="A58" s="30"/>
      <c r="B58" s="30"/>
      <c r="F58" s="50"/>
      <c r="J58" s="30"/>
    </row>
    <row r="59" spans="1:10" s="32" customFormat="1">
      <c r="A59" s="30"/>
      <c r="B59" s="30"/>
      <c r="F59" s="50"/>
      <c r="J59" s="30"/>
    </row>
    <row r="60" spans="1:10" s="32" customFormat="1">
      <c r="A60" s="30"/>
      <c r="B60" s="30"/>
      <c r="F60" s="50"/>
      <c r="J60" s="30"/>
    </row>
    <row r="61" spans="1:10" s="32" customFormat="1">
      <c r="A61" s="30"/>
      <c r="B61" s="30"/>
      <c r="F61" s="50"/>
      <c r="J61" s="30"/>
    </row>
    <row r="62" spans="1:10" s="32" customFormat="1">
      <c r="A62" s="30"/>
      <c r="B62" s="30"/>
      <c r="F62" s="50"/>
      <c r="J62" s="30"/>
    </row>
    <row r="63" spans="1:10" s="32" customFormat="1">
      <c r="A63" s="30"/>
      <c r="B63" s="30"/>
      <c r="F63" s="50"/>
      <c r="J63" s="30"/>
    </row>
    <row r="64" spans="1:10" s="32" customFormat="1">
      <c r="A64" s="30"/>
      <c r="B64" s="30"/>
      <c r="F64" s="50"/>
      <c r="J64" s="30"/>
    </row>
    <row r="65" spans="1:10" s="32" customFormat="1">
      <c r="A65" s="30"/>
      <c r="B65" s="30"/>
      <c r="F65" s="50"/>
      <c r="J65" s="30"/>
    </row>
    <row r="66" spans="1:10" s="32" customFormat="1">
      <c r="A66" s="30"/>
      <c r="B66" s="30"/>
      <c r="F66" s="50"/>
      <c r="J66" s="30"/>
    </row>
    <row r="67" spans="1:10" s="32" customFormat="1">
      <c r="A67" s="30"/>
      <c r="B67" s="30"/>
      <c r="F67" s="50"/>
      <c r="J67" s="30"/>
    </row>
    <row r="68" spans="1:10" s="32" customFormat="1">
      <c r="A68" s="30"/>
      <c r="B68" s="30"/>
      <c r="F68" s="50"/>
      <c r="J68" s="30"/>
    </row>
    <row r="69" spans="1:10" s="32" customFormat="1">
      <c r="A69" s="30"/>
      <c r="B69" s="30"/>
      <c r="F69" s="50"/>
      <c r="J69" s="30"/>
    </row>
    <row r="70" spans="1:10" s="32" customFormat="1">
      <c r="A70" s="30"/>
      <c r="B70" s="30"/>
      <c r="F70" s="50"/>
      <c r="J70" s="30"/>
    </row>
    <row r="71" spans="1:10" s="32" customFormat="1">
      <c r="A71" s="30"/>
      <c r="B71" s="30"/>
      <c r="F71" s="50"/>
      <c r="J71" s="30"/>
    </row>
    <row r="72" spans="1:10" s="32" customFormat="1">
      <c r="A72" s="30"/>
      <c r="B72" s="30"/>
      <c r="F72" s="50"/>
      <c r="J72" s="30"/>
    </row>
    <row r="73" spans="1:10" s="32" customFormat="1">
      <c r="A73" s="30"/>
      <c r="B73" s="30"/>
      <c r="F73" s="50"/>
      <c r="J73" s="30"/>
    </row>
    <row r="74" spans="1:10" s="32" customFormat="1">
      <c r="A74" s="30"/>
      <c r="B74" s="30"/>
      <c r="F74" s="50"/>
      <c r="J74" s="30"/>
    </row>
    <row r="75" spans="1:10" s="32" customFormat="1">
      <c r="A75" s="30"/>
      <c r="B75" s="30"/>
      <c r="F75" s="50"/>
      <c r="J75" s="30"/>
    </row>
    <row r="76" spans="1:10" s="32" customFormat="1">
      <c r="A76" s="30"/>
      <c r="B76" s="30"/>
      <c r="F76" s="50"/>
      <c r="J76" s="30"/>
    </row>
    <row r="77" spans="1:10" s="32" customFormat="1">
      <c r="A77" s="30"/>
      <c r="B77" s="30"/>
      <c r="F77" s="50"/>
      <c r="J77" s="30"/>
    </row>
    <row r="78" spans="1:10" s="32" customFormat="1">
      <c r="A78" s="30"/>
      <c r="B78" s="30"/>
      <c r="F78" s="50"/>
      <c r="J78" s="30"/>
    </row>
    <row r="79" spans="1:10" s="32" customFormat="1">
      <c r="A79" s="30"/>
      <c r="B79" s="30"/>
      <c r="F79" s="50"/>
      <c r="J79" s="30"/>
    </row>
    <row r="80" spans="1:10" s="32" customFormat="1">
      <c r="A80" s="30"/>
      <c r="B80" s="30"/>
      <c r="F80" s="50"/>
      <c r="J80" s="30"/>
    </row>
    <row r="81" spans="1:10" s="32" customFormat="1">
      <c r="A81" s="30"/>
      <c r="B81" s="30"/>
      <c r="F81" s="50"/>
      <c r="J81" s="30"/>
    </row>
    <row r="82" spans="1:10" s="32" customFormat="1">
      <c r="A82" s="30"/>
      <c r="B82" s="30"/>
      <c r="F82" s="50"/>
      <c r="J82" s="30"/>
    </row>
    <row r="83" spans="1:10" s="32" customFormat="1">
      <c r="A83" s="30"/>
      <c r="B83" s="30"/>
      <c r="F83" s="50"/>
      <c r="J83" s="30"/>
    </row>
    <row r="84" spans="1:10" s="32" customFormat="1">
      <c r="A84" s="30"/>
      <c r="B84" s="30"/>
      <c r="F84" s="50"/>
      <c r="J84" s="30"/>
    </row>
    <row r="85" spans="1:10" s="32" customFormat="1">
      <c r="A85" s="30"/>
      <c r="B85" s="30"/>
      <c r="F85" s="50"/>
      <c r="J85" s="30"/>
    </row>
    <row r="86" spans="1:10" s="32" customFormat="1">
      <c r="A86" s="30"/>
      <c r="B86" s="30"/>
      <c r="F86" s="50"/>
      <c r="J86" s="30"/>
    </row>
    <row r="87" spans="1:10" s="32" customFormat="1">
      <c r="A87" s="30"/>
      <c r="B87" s="30"/>
      <c r="F87" s="50"/>
      <c r="J87" s="30"/>
    </row>
    <row r="88" spans="1:10" s="32" customFormat="1">
      <c r="A88" s="30"/>
      <c r="B88" s="30"/>
      <c r="F88" s="50"/>
      <c r="J88" s="30"/>
    </row>
    <row r="89" spans="1:10" s="32" customFormat="1">
      <c r="A89" s="30"/>
      <c r="B89" s="30"/>
      <c r="F89" s="50"/>
      <c r="J89" s="30"/>
    </row>
    <row r="90" spans="1:10" s="32" customFormat="1">
      <c r="A90" s="30"/>
      <c r="B90" s="30"/>
      <c r="F90" s="50"/>
      <c r="J90" s="30"/>
    </row>
    <row r="91" spans="1:10" s="32" customFormat="1">
      <c r="A91" s="30"/>
      <c r="B91" s="30"/>
      <c r="F91" s="50"/>
      <c r="J91" s="30"/>
    </row>
    <row r="92" spans="1:10" s="32" customFormat="1">
      <c r="A92" s="30"/>
      <c r="B92" s="30"/>
      <c r="F92" s="50"/>
      <c r="J92" s="30"/>
    </row>
    <row r="93" spans="1:10" s="32" customFormat="1">
      <c r="A93" s="30"/>
      <c r="B93" s="30"/>
      <c r="F93" s="50"/>
      <c r="J93" s="30"/>
    </row>
    <row r="94" spans="1:10" s="32" customFormat="1">
      <c r="A94" s="30"/>
      <c r="B94" s="30"/>
      <c r="F94" s="50"/>
      <c r="J94" s="30"/>
    </row>
    <row r="95" spans="1:10" s="32" customFormat="1">
      <c r="A95" s="30"/>
      <c r="B95" s="30"/>
      <c r="F95" s="50"/>
      <c r="J95" s="30"/>
    </row>
    <row r="96" spans="1:10" s="32" customFormat="1">
      <c r="A96" s="30"/>
      <c r="B96" s="30"/>
      <c r="F96" s="50"/>
      <c r="J96" s="30"/>
    </row>
    <row r="97" spans="1:10" s="32" customFormat="1">
      <c r="A97" s="30"/>
      <c r="B97" s="30"/>
      <c r="F97" s="50"/>
      <c r="J97" s="30"/>
    </row>
    <row r="98" spans="1:10" s="32" customFormat="1">
      <c r="A98" s="30"/>
      <c r="B98" s="30"/>
      <c r="F98" s="50"/>
      <c r="J98" s="30"/>
    </row>
    <row r="99" spans="1:10" s="32" customFormat="1">
      <c r="A99" s="30"/>
      <c r="B99" s="30"/>
      <c r="F99" s="50"/>
      <c r="J99" s="30"/>
    </row>
    <row r="100" spans="1:10" s="32" customFormat="1">
      <c r="A100" s="30"/>
      <c r="B100" s="30"/>
      <c r="F100" s="50"/>
      <c r="J100" s="30"/>
    </row>
    <row r="101" spans="1:10" s="32" customFormat="1">
      <c r="A101" s="30"/>
      <c r="B101" s="30"/>
      <c r="F101" s="50"/>
      <c r="J101" s="30"/>
    </row>
    <row r="102" spans="1:10" s="32" customFormat="1">
      <c r="A102" s="30"/>
      <c r="B102" s="30"/>
      <c r="F102" s="50"/>
      <c r="J102" s="30"/>
    </row>
    <row r="103" spans="1:10" s="32" customFormat="1">
      <c r="A103" s="30"/>
      <c r="B103" s="30"/>
      <c r="F103" s="50"/>
      <c r="J103" s="30"/>
    </row>
    <row r="104" spans="1:10" s="32" customFormat="1">
      <c r="A104" s="30"/>
      <c r="B104" s="30"/>
      <c r="F104" s="50"/>
      <c r="J104" s="30"/>
    </row>
    <row r="105" spans="1:10" s="32" customFormat="1">
      <c r="A105" s="30"/>
      <c r="B105" s="30"/>
      <c r="F105" s="50"/>
      <c r="J105" s="30"/>
    </row>
    <row r="106" spans="1:10" s="32" customFormat="1">
      <c r="A106" s="30"/>
      <c r="B106" s="30"/>
      <c r="F106" s="50"/>
      <c r="J106" s="30"/>
    </row>
    <row r="107" spans="1:10" s="32" customFormat="1">
      <c r="A107" s="30"/>
      <c r="B107" s="30"/>
      <c r="F107" s="50"/>
      <c r="J107" s="30"/>
    </row>
    <row r="108" spans="1:10" s="32" customFormat="1">
      <c r="A108" s="30"/>
      <c r="B108" s="30"/>
      <c r="F108" s="50"/>
      <c r="J108" s="30"/>
    </row>
    <row r="109" spans="1:10" s="32" customFormat="1">
      <c r="A109" s="30"/>
      <c r="B109" s="30"/>
      <c r="F109" s="50"/>
      <c r="J109" s="30"/>
    </row>
    <row r="110" spans="1:10" s="32" customFormat="1">
      <c r="A110" s="30"/>
      <c r="B110" s="30"/>
      <c r="F110" s="50"/>
      <c r="J110" s="30"/>
    </row>
    <row r="111" spans="1:10" s="32" customFormat="1">
      <c r="A111" s="30"/>
      <c r="B111" s="30"/>
      <c r="F111" s="50"/>
      <c r="J111" s="30"/>
    </row>
    <row r="112" spans="1:10" s="32" customFormat="1">
      <c r="A112" s="30"/>
      <c r="B112" s="30"/>
      <c r="F112" s="50"/>
      <c r="J112" s="30"/>
    </row>
    <row r="113" spans="1:10" s="32" customFormat="1">
      <c r="A113" s="30"/>
      <c r="B113" s="30"/>
      <c r="F113" s="50"/>
      <c r="J113" s="30"/>
    </row>
    <row r="114" spans="1:10" s="32" customFormat="1">
      <c r="A114" s="30"/>
      <c r="B114" s="30"/>
      <c r="F114" s="50"/>
      <c r="J114" s="30"/>
    </row>
    <row r="115" spans="1:10" s="32" customFormat="1">
      <c r="A115" s="30"/>
      <c r="B115" s="30"/>
      <c r="F115" s="50"/>
      <c r="J115" s="30"/>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sheetPr codeName="Sheet38">
    <tabColor theme="3"/>
  </sheetPr>
  <dimension ref="A2:R23"/>
  <sheetViews>
    <sheetView showGridLines="0" zoomScale="85" zoomScaleNormal="85" workbookViewId="0">
      <selection activeCell="E39" sqref="E39"/>
    </sheetView>
  </sheetViews>
  <sheetFormatPr defaultColWidth="9.140625" defaultRowHeight="15"/>
  <cols>
    <col min="1" max="3" width="9.140625" style="80"/>
    <col min="4" max="4" width="23" style="80" customWidth="1"/>
    <col min="5" max="5" width="15.7109375" style="80" customWidth="1"/>
    <col min="6" max="17" width="9.140625" style="80"/>
    <col min="18" max="18" width="50.7109375" style="81" customWidth="1"/>
    <col min="19" max="16384" width="9.140625" style="80"/>
  </cols>
  <sheetData>
    <row r="2" spans="2:18">
      <c r="D2" s="84"/>
      <c r="R2" s="80"/>
    </row>
    <row r="3" spans="2:18">
      <c r="R3" s="80"/>
    </row>
    <row r="5" spans="2:18" s="87" customFormat="1">
      <c r="R5" s="88"/>
    </row>
    <row r="6" spans="2:18">
      <c r="G6" s="86"/>
      <c r="H6" s="86"/>
      <c r="I6" s="86"/>
      <c r="J6" s="86"/>
      <c r="K6" s="86"/>
      <c r="L6" s="86"/>
      <c r="M6" s="86"/>
      <c r="N6" s="86"/>
      <c r="O6" s="86"/>
      <c r="P6" s="86"/>
      <c r="Q6" s="86"/>
      <c r="R6" s="85"/>
    </row>
    <row r="7" spans="2:18">
      <c r="B7" s="84"/>
    </row>
    <row r="8" spans="2:18">
      <c r="C8" s="84"/>
    </row>
    <row r="9" spans="2:18">
      <c r="C9" s="84"/>
      <c r="D9" s="84"/>
    </row>
    <row r="10" spans="2:18">
      <c r="C10" s="84"/>
      <c r="G10" s="138"/>
      <c r="H10" s="138"/>
      <c r="I10" s="138"/>
      <c r="J10" s="83"/>
      <c r="K10" s="83"/>
      <c r="L10" s="83"/>
      <c r="M10" s="83"/>
      <c r="N10" s="83"/>
      <c r="O10" s="83"/>
      <c r="P10" s="83"/>
    </row>
    <row r="11" spans="2:18">
      <c r="C11" s="84"/>
      <c r="G11" s="137"/>
      <c r="H11" s="83"/>
      <c r="I11" s="83"/>
      <c r="J11" s="83"/>
      <c r="K11" s="83"/>
      <c r="L11" s="83"/>
      <c r="M11" s="83"/>
      <c r="N11" s="83"/>
      <c r="O11" s="83"/>
      <c r="P11" s="83"/>
    </row>
    <row r="12" spans="2:18">
      <c r="C12" s="84"/>
      <c r="G12" s="83"/>
      <c r="H12" s="83"/>
      <c r="I12" s="83"/>
      <c r="J12" s="83"/>
      <c r="K12" s="83"/>
      <c r="L12" s="83"/>
      <c r="M12" s="83"/>
      <c r="N12" s="83"/>
      <c r="O12" s="83"/>
      <c r="P12" s="83"/>
    </row>
    <row r="13" spans="2:18">
      <c r="C13" s="84"/>
      <c r="D13" s="84"/>
      <c r="G13" s="83"/>
      <c r="H13" s="83"/>
      <c r="I13" s="83"/>
      <c r="J13" s="83"/>
      <c r="K13" s="83"/>
      <c r="L13" s="83"/>
      <c r="M13" s="83"/>
      <c r="N13" s="83"/>
      <c r="O13" s="83"/>
      <c r="P13" s="83"/>
    </row>
    <row r="14" spans="2:18">
      <c r="G14" s="136"/>
      <c r="H14" s="136"/>
      <c r="I14" s="136"/>
      <c r="J14" s="136"/>
      <c r="K14" s="136"/>
      <c r="L14" s="136"/>
      <c r="M14" s="136"/>
      <c r="N14" s="136"/>
      <c r="O14" s="136"/>
      <c r="P14" s="136"/>
      <c r="R14" s="135"/>
    </row>
    <row r="15" spans="2:18">
      <c r="G15" s="82"/>
      <c r="H15" s="82"/>
      <c r="I15" s="82"/>
      <c r="J15" s="82"/>
      <c r="K15" s="82"/>
      <c r="L15" s="82"/>
      <c r="M15" s="82"/>
      <c r="N15" s="82"/>
      <c r="O15" s="82"/>
      <c r="P15" s="82"/>
    </row>
    <row r="16" spans="2:18" s="134" customFormat="1">
      <c r="D16" s="80"/>
      <c r="E16" s="80"/>
      <c r="F16" s="80"/>
      <c r="G16" s="82"/>
      <c r="H16" s="82"/>
      <c r="I16" s="82"/>
      <c r="J16" s="82"/>
      <c r="K16" s="82"/>
      <c r="L16" s="82"/>
      <c r="M16" s="82"/>
      <c r="N16" s="82"/>
      <c r="O16" s="82"/>
      <c r="P16" s="82"/>
      <c r="Q16" s="80"/>
      <c r="R16" s="81"/>
    </row>
    <row r="17" spans="1:16">
      <c r="A17" s="131"/>
      <c r="B17" s="131"/>
      <c r="G17" s="133"/>
      <c r="H17" s="133"/>
      <c r="I17" s="133"/>
      <c r="J17" s="133"/>
      <c r="K17" s="133"/>
      <c r="L17" s="133"/>
      <c r="M17" s="133"/>
      <c r="N17" s="133"/>
      <c r="O17" s="133"/>
      <c r="P17" s="133"/>
    </row>
    <row r="18" spans="1:16">
      <c r="A18" s="131"/>
      <c r="B18" s="131"/>
      <c r="G18" s="132"/>
      <c r="H18" s="132"/>
      <c r="I18" s="132"/>
      <c r="J18" s="132"/>
      <c r="K18" s="132"/>
      <c r="L18" s="132"/>
      <c r="M18" s="132"/>
      <c r="N18" s="132"/>
      <c r="O18" s="132"/>
      <c r="P18" s="132"/>
    </row>
    <row r="19" spans="1:16">
      <c r="A19" s="131"/>
      <c r="B19" s="131"/>
      <c r="G19" s="130"/>
      <c r="H19" s="130"/>
      <c r="I19" s="130"/>
      <c r="J19" s="130"/>
      <c r="K19" s="130"/>
      <c r="L19" s="130"/>
      <c r="M19" s="130"/>
      <c r="N19" s="130"/>
      <c r="O19" s="130"/>
      <c r="P19" s="130"/>
    </row>
    <row r="23" spans="1:16">
      <c r="E23" s="129"/>
      <c r="F23" s="129"/>
      <c r="G23" s="129"/>
      <c r="H23" s="128"/>
      <c r="J23" s="127"/>
    </row>
  </sheetData>
  <pageMargins left="0.7" right="0.7" top="0.75" bottom="0.75" header="0.3" footer="0.3"/>
  <pageSetup paperSize="9" orientation="portrait" verticalDpi="0" r:id="rId1"/>
</worksheet>
</file>

<file path=xl/worksheets/sheet39.xml><?xml version="1.0" encoding="utf-8"?>
<worksheet xmlns="http://schemas.openxmlformats.org/spreadsheetml/2006/main" xmlns:r="http://schemas.openxmlformats.org/officeDocument/2006/relationships">
  <sheetPr codeName="Sheet8"/>
  <dimension ref="A2:Q144"/>
  <sheetViews>
    <sheetView showGridLines="0" topLeftCell="I1" zoomScale="70" zoomScaleNormal="70" workbookViewId="0">
      <selection activeCell="H37" sqref="H37"/>
    </sheetView>
  </sheetViews>
  <sheetFormatPr defaultColWidth="9.140625" defaultRowHeight="12.75"/>
  <cols>
    <col min="1" max="3" width="9.140625" style="277"/>
    <col min="4" max="4" width="23" style="277" customWidth="1"/>
    <col min="5" max="5" width="15.7109375" style="277" customWidth="1"/>
    <col min="6" max="6" width="9.140625" style="277"/>
    <col min="7" max="7" width="12.85546875" style="277" customWidth="1"/>
    <col min="8" max="16" width="15.85546875" style="277" customWidth="1"/>
    <col min="17" max="17" width="15.85546875" style="278" customWidth="1"/>
    <col min="18" max="16384" width="9.140625" style="277"/>
  </cols>
  <sheetData>
    <row r="2" spans="2:17">
      <c r="B2" s="277" t="s">
        <v>0</v>
      </c>
      <c r="D2" s="257" t="str">
        <f ca="1">MID(CELL("filename",A1),FIND("]",CELL("filename",A1))+1,256)</f>
        <v>NPV Model</v>
      </c>
      <c r="Q2" s="277"/>
    </row>
    <row r="3" spans="2:17">
      <c r="B3" s="277" t="s">
        <v>1</v>
      </c>
      <c r="D3" s="277" t="s">
        <v>568</v>
      </c>
      <c r="Q3" s="277"/>
    </row>
    <row r="4" spans="2:17">
      <c r="Q4" s="277"/>
    </row>
    <row r="5" spans="2:17">
      <c r="Q5" s="277"/>
    </row>
    <row r="6" spans="2:17" s="259" customFormat="1">
      <c r="B6" s="259" t="s">
        <v>238</v>
      </c>
      <c r="D6" s="259" t="s">
        <v>365</v>
      </c>
      <c r="E6" s="259" t="s">
        <v>20</v>
      </c>
      <c r="G6" s="259" t="s">
        <v>15</v>
      </c>
      <c r="H6" s="259" t="s">
        <v>649</v>
      </c>
      <c r="I6" s="259" t="s">
        <v>509</v>
      </c>
      <c r="J6" s="259" t="s">
        <v>650</v>
      </c>
      <c r="K6" s="259" t="s">
        <v>17</v>
      </c>
    </row>
    <row r="7" spans="2:17">
      <c r="Q7" s="277"/>
    </row>
    <row r="8" spans="2:17">
      <c r="D8" s="257" t="s">
        <v>438</v>
      </c>
      <c r="Q8" s="277"/>
    </row>
    <row r="9" spans="2:17">
      <c r="D9" s="277" t="s">
        <v>364</v>
      </c>
      <c r="G9" s="269">
        <f>ROUND(G41,-6)</f>
        <v>57000000</v>
      </c>
      <c r="H9" s="269">
        <f>ROUND(G47,-6)</f>
        <v>81000000</v>
      </c>
      <c r="I9" s="269">
        <f>ROUND(G53,-6)</f>
        <v>65000000</v>
      </c>
      <c r="J9" s="269">
        <f>ROUND(G59,-6)</f>
        <v>33000000</v>
      </c>
      <c r="K9" s="269">
        <f>ROUND(G65,-6)</f>
        <v>43000000</v>
      </c>
      <c r="Q9" s="277"/>
    </row>
    <row r="10" spans="2:17">
      <c r="D10" s="277" t="s">
        <v>463</v>
      </c>
      <c r="G10" s="269">
        <f ca="1">ROUND(G73,-6)</f>
        <v>56000000</v>
      </c>
      <c r="H10" s="269">
        <f ca="1">ROUND(G79,-6)</f>
        <v>103000000</v>
      </c>
      <c r="I10" s="276" t="s">
        <v>194</v>
      </c>
      <c r="J10" s="276" t="s">
        <v>194</v>
      </c>
      <c r="K10" s="269">
        <f ca="1">ROUND(G85,-6)</f>
        <v>49000000</v>
      </c>
      <c r="Q10" s="277"/>
    </row>
    <row r="11" spans="2:17">
      <c r="Q11" s="277"/>
    </row>
    <row r="12" spans="2:17">
      <c r="D12" s="257" t="s">
        <v>439</v>
      </c>
      <c r="Q12" s="277"/>
    </row>
    <row r="13" spans="2:17">
      <c r="D13" s="277" t="s">
        <v>364</v>
      </c>
      <c r="G13" s="269">
        <f>ROUND(G100,-6)</f>
        <v>81000000</v>
      </c>
      <c r="H13" s="269">
        <f>ROUND(G106,-6)</f>
        <v>128000000</v>
      </c>
      <c r="I13" s="269">
        <f>ROUND(G112,-6)</f>
        <v>98000000</v>
      </c>
      <c r="J13" s="269">
        <f>ROUND(G118,-6)</f>
        <v>41000000</v>
      </c>
      <c r="K13" s="269">
        <f>ROUND(G124,-6)</f>
        <v>65000000</v>
      </c>
      <c r="Q13" s="277"/>
    </row>
    <row r="14" spans="2:17">
      <c r="D14" s="277" t="s">
        <v>463</v>
      </c>
      <c r="G14" s="269">
        <f ca="1">ROUND(G132,-6)</f>
        <v>73000000</v>
      </c>
      <c r="H14" s="269">
        <f ca="1">ROUND(G138,-6)</f>
        <v>156000000</v>
      </c>
      <c r="I14" s="276" t="s">
        <v>194</v>
      </c>
      <c r="J14" s="276" t="s">
        <v>194</v>
      </c>
      <c r="K14" s="269">
        <f ca="1">ROUND(G144,-6)</f>
        <v>66000000</v>
      </c>
      <c r="Q14" s="277"/>
    </row>
    <row r="15" spans="2:17">
      <c r="Q15" s="277"/>
    </row>
    <row r="16" spans="2:17">
      <c r="D16" s="257" t="s">
        <v>364</v>
      </c>
      <c r="Q16" s="277"/>
    </row>
    <row r="17" spans="2:17">
      <c r="D17" s="277" t="s">
        <v>366</v>
      </c>
      <c r="G17" s="269">
        <f>G9</f>
        <v>57000000</v>
      </c>
      <c r="H17" s="269">
        <f>H9</f>
        <v>81000000</v>
      </c>
      <c r="I17" s="269">
        <f t="shared" ref="I17:J17" si="0">I9</f>
        <v>65000000</v>
      </c>
      <c r="J17" s="269">
        <f t="shared" si="0"/>
        <v>33000000</v>
      </c>
      <c r="K17" s="269">
        <f>K9</f>
        <v>43000000</v>
      </c>
      <c r="Q17" s="277"/>
    </row>
    <row r="18" spans="2:17">
      <c r="D18" s="277" t="s">
        <v>375</v>
      </c>
      <c r="G18" s="269">
        <f>G13</f>
        <v>81000000</v>
      </c>
      <c r="H18" s="269">
        <f>H13</f>
        <v>128000000</v>
      </c>
      <c r="I18" s="269">
        <f t="shared" ref="I18:J18" si="1">I13</f>
        <v>98000000</v>
      </c>
      <c r="J18" s="269">
        <f t="shared" si="1"/>
        <v>41000000</v>
      </c>
      <c r="K18" s="269">
        <f>K13</f>
        <v>65000000</v>
      </c>
      <c r="Q18" s="277"/>
    </row>
    <row r="19" spans="2:17">
      <c r="G19" s="269"/>
      <c r="H19" s="269"/>
      <c r="I19" s="269"/>
      <c r="J19" s="269"/>
      <c r="K19" s="269"/>
      <c r="Q19" s="277"/>
    </row>
    <row r="20" spans="2:17">
      <c r="D20" s="257" t="s">
        <v>440</v>
      </c>
      <c r="G20" s="269"/>
      <c r="H20" s="269"/>
      <c r="I20" s="269"/>
      <c r="J20" s="269"/>
      <c r="K20" s="269"/>
      <c r="Q20" s="277"/>
    </row>
    <row r="21" spans="2:17">
      <c r="D21" s="277" t="s">
        <v>441</v>
      </c>
      <c r="G21" s="282">
        <f ca="1">G14/G13-1</f>
        <v>-9.8765432098765427E-2</v>
      </c>
      <c r="H21" s="282">
        <f ca="1">H14/H13-1</f>
        <v>0.21875</v>
      </c>
      <c r="I21" s="282"/>
      <c r="J21" s="282"/>
      <c r="K21" s="282">
        <f ca="1">K14/K13-1</f>
        <v>1.538461538461533E-2</v>
      </c>
      <c r="Q21" s="277"/>
    </row>
    <row r="22" spans="2:17">
      <c r="G22" s="282"/>
      <c r="H22" s="282"/>
      <c r="I22" s="282"/>
      <c r="J22" s="282"/>
      <c r="K22" s="282"/>
      <c r="Q22" s="277"/>
    </row>
    <row r="23" spans="2:17">
      <c r="D23" s="257" t="s">
        <v>651</v>
      </c>
      <c r="G23" s="282"/>
      <c r="H23" s="282"/>
      <c r="I23" s="282"/>
      <c r="J23" s="282"/>
      <c r="K23" s="282"/>
      <c r="Q23" s="277"/>
    </row>
    <row r="24" spans="2:17">
      <c r="D24" s="277" t="s">
        <v>383</v>
      </c>
      <c r="G24" s="296">
        <f>G18/'Independent Mkt Size Inputs '!$G$20</f>
        <v>4.1681675500437398</v>
      </c>
      <c r="H24" s="296">
        <f>H18/'Independent Mkt Size Inputs '!$G$20</f>
        <v>6.5867339062419594</v>
      </c>
      <c r="I24" s="296">
        <f>I18/'Independent Mkt Size Inputs '!$G$20</f>
        <v>5.0429681469665004</v>
      </c>
      <c r="J24" s="296">
        <f>J18/'Independent Mkt Size Inputs '!$G$20</f>
        <v>2.1098132043431277</v>
      </c>
      <c r="K24" s="296">
        <f>K18/'Independent Mkt Size Inputs '!$G$20</f>
        <v>3.3448258117634952</v>
      </c>
    </row>
    <row r="25" spans="2:17">
      <c r="G25" s="296"/>
      <c r="H25" s="296"/>
      <c r="I25" s="296"/>
      <c r="J25" s="296"/>
      <c r="K25" s="296"/>
    </row>
    <row r="26" spans="2:17">
      <c r="G26" s="296"/>
      <c r="H26" s="296"/>
      <c r="I26" s="296"/>
      <c r="J26" s="281"/>
    </row>
    <row r="27" spans="2:17">
      <c r="G27" s="282"/>
      <c r="H27" s="282"/>
      <c r="I27" s="282"/>
      <c r="Q27" s="277"/>
    </row>
    <row r="29" spans="2:17" s="259" customFormat="1">
      <c r="B29" s="259" t="s">
        <v>436</v>
      </c>
      <c r="D29" s="259" t="s">
        <v>365</v>
      </c>
      <c r="E29" s="259" t="s">
        <v>20</v>
      </c>
      <c r="G29" s="51">
        <v>0</v>
      </c>
      <c r="H29" s="51">
        <v>1</v>
      </c>
      <c r="I29" s="51">
        <v>2</v>
      </c>
      <c r="J29" s="51">
        <v>3</v>
      </c>
      <c r="K29" s="51">
        <v>4</v>
      </c>
      <c r="L29" s="259">
        <v>5</v>
      </c>
      <c r="M29" s="259">
        <v>6</v>
      </c>
      <c r="N29" s="259">
        <v>7</v>
      </c>
      <c r="O29" s="259">
        <v>8</v>
      </c>
      <c r="P29" s="259">
        <v>9</v>
      </c>
      <c r="Q29" s="259">
        <v>10</v>
      </c>
    </row>
    <row r="30" spans="2:17">
      <c r="G30" s="289"/>
      <c r="H30" s="289"/>
      <c r="I30" s="289"/>
      <c r="J30" s="289"/>
      <c r="K30" s="289"/>
      <c r="L30" s="289"/>
      <c r="M30" s="289"/>
      <c r="N30" s="289"/>
      <c r="O30" s="289"/>
      <c r="P30" s="289"/>
      <c r="Q30" s="288"/>
    </row>
    <row r="31" spans="2:17">
      <c r="B31" s="257"/>
      <c r="C31" s="257" t="s">
        <v>172</v>
      </c>
    </row>
    <row r="33" spans="1:17">
      <c r="C33" s="257"/>
      <c r="D33" s="180" t="s">
        <v>363</v>
      </c>
      <c r="E33" s="180"/>
      <c r="F33" s="317">
        <v>3.5000000000000003E-2</v>
      </c>
      <c r="H33" s="180"/>
      <c r="I33" s="180"/>
      <c r="J33" s="180"/>
      <c r="K33" s="180"/>
      <c r="L33" s="180"/>
      <c r="M33" s="180"/>
      <c r="N33" s="180"/>
    </row>
    <row r="34" spans="1:17">
      <c r="C34" s="257"/>
      <c r="O34" s="261"/>
    </row>
    <row r="35" spans="1:17">
      <c r="C35" s="257" t="s">
        <v>364</v>
      </c>
      <c r="E35" s="180"/>
      <c r="F35" s="180"/>
      <c r="H35" s="180"/>
      <c r="I35" s="180"/>
      <c r="J35" s="180"/>
      <c r="K35" s="180"/>
      <c r="L35" s="180"/>
      <c r="M35" s="180"/>
      <c r="N35" s="180"/>
      <c r="O35" s="261"/>
    </row>
    <row r="36" spans="1:17">
      <c r="C36" s="257"/>
      <c r="D36" s="180"/>
      <c r="E36" s="180"/>
      <c r="F36" s="180"/>
      <c r="H36" s="180"/>
      <c r="O36" s="261"/>
    </row>
    <row r="37" spans="1:17">
      <c r="C37" s="257"/>
      <c r="D37" s="257" t="s">
        <v>15</v>
      </c>
      <c r="O37" s="261"/>
    </row>
    <row r="38" spans="1:17">
      <c r="D38" s="180" t="s">
        <v>21</v>
      </c>
      <c r="E38" s="180" t="s">
        <v>29</v>
      </c>
      <c r="F38" s="180"/>
      <c r="G38" s="269">
        <f>'Independent Model Outputs'!$G$10</f>
        <v>28050000</v>
      </c>
      <c r="H38" s="180"/>
      <c r="I38" s="180"/>
      <c r="J38" s="180"/>
      <c r="K38" s="180"/>
      <c r="L38" s="180"/>
      <c r="O38" s="262"/>
      <c r="Q38" s="263"/>
    </row>
    <row r="39" spans="1:17">
      <c r="D39" s="180" t="s">
        <v>22</v>
      </c>
      <c r="E39" s="180" t="s">
        <v>29</v>
      </c>
      <c r="F39" s="180"/>
      <c r="G39" s="180"/>
      <c r="H39" s="269">
        <f>'Independent Model Outputs'!$G$15</f>
        <v>6383669.575536265</v>
      </c>
      <c r="I39" s="269">
        <f>'Independent Model Outputs'!$G$15</f>
        <v>6383669.575536265</v>
      </c>
      <c r="J39" s="269">
        <f>'Independent Model Outputs'!$G$15</f>
        <v>6383669.575536265</v>
      </c>
      <c r="K39" s="269">
        <f>'Independent Model Outputs'!$G$15</f>
        <v>6383669.575536265</v>
      </c>
      <c r="L39" s="269">
        <f>'Independent Model Outputs'!$G$15</f>
        <v>6383669.575536265</v>
      </c>
      <c r="M39" s="269"/>
      <c r="N39" s="269"/>
      <c r="O39" s="269"/>
      <c r="P39" s="269"/>
      <c r="Q39" s="269"/>
    </row>
    <row r="40" spans="1:17">
      <c r="A40" s="287"/>
      <c r="B40" s="287"/>
      <c r="D40" s="180" t="s">
        <v>362</v>
      </c>
      <c r="E40" s="180" t="s">
        <v>29</v>
      </c>
      <c r="F40" s="180"/>
      <c r="G40" s="180"/>
      <c r="H40" s="286">
        <f>H39*(1-$F$33)^H29</f>
        <v>6160241.1403924953</v>
      </c>
      <c r="I40" s="286">
        <f>I39*(1-$F$33)^I29</f>
        <v>5944632.7004787587</v>
      </c>
      <c r="J40" s="286">
        <f>J39*(1-$F$33)^J29</f>
        <v>5736570.555962001</v>
      </c>
      <c r="K40" s="286">
        <f>K39*(1-$F$33)^K29</f>
        <v>5535790.5865033315</v>
      </c>
      <c r="L40" s="286">
        <f>L39*(1-$F$33)^L29</f>
        <v>5342037.9159757141</v>
      </c>
      <c r="M40" s="286"/>
      <c r="N40" s="286"/>
      <c r="O40" s="286"/>
      <c r="P40" s="286"/>
      <c r="Q40" s="286"/>
    </row>
    <row r="41" spans="1:17">
      <c r="A41" s="287"/>
      <c r="B41" s="287"/>
      <c r="D41" s="180" t="s">
        <v>36</v>
      </c>
      <c r="E41" s="180" t="s">
        <v>29</v>
      </c>
      <c r="F41" s="180"/>
      <c r="G41" s="269">
        <f>SUM(G38,H40:L40)</f>
        <v>56769272.89931231</v>
      </c>
      <c r="H41" s="180"/>
      <c r="I41" s="180"/>
      <c r="J41" s="180"/>
      <c r="K41" s="180"/>
      <c r="L41" s="180"/>
      <c r="Q41" s="277"/>
    </row>
    <row r="42" spans="1:17">
      <c r="D42" s="180"/>
      <c r="E42" s="180"/>
      <c r="F42" s="180"/>
      <c r="G42" s="180"/>
      <c r="H42" s="180"/>
      <c r="I42" s="180"/>
      <c r="J42" s="180"/>
      <c r="K42" s="180"/>
      <c r="L42" s="180"/>
      <c r="Q42" s="277"/>
    </row>
    <row r="43" spans="1:17">
      <c r="D43" s="257" t="s">
        <v>649</v>
      </c>
      <c r="Q43" s="277"/>
    </row>
    <row r="44" spans="1:17">
      <c r="D44" s="277" t="s">
        <v>21</v>
      </c>
      <c r="E44" s="277" t="s">
        <v>29</v>
      </c>
      <c r="F44" s="180"/>
      <c r="G44" s="269">
        <f>'Independent Model Outputs'!$H$10</f>
        <v>25623000</v>
      </c>
      <c r="Q44" s="277"/>
    </row>
    <row r="45" spans="1:17">
      <c r="D45" s="277" t="s">
        <v>22</v>
      </c>
      <c r="E45" s="277" t="s">
        <v>29</v>
      </c>
      <c r="F45" s="180"/>
      <c r="H45" s="269">
        <f>'Independent Model Outputs'!$H$15</f>
        <v>12400017.039169205</v>
      </c>
      <c r="I45" s="269">
        <f>H45</f>
        <v>12400017.039169205</v>
      </c>
      <c r="J45" s="269">
        <f>I45</f>
        <v>12400017.039169205</v>
      </c>
      <c r="K45" s="269">
        <f>J45</f>
        <v>12400017.039169205</v>
      </c>
      <c r="L45" s="269">
        <f>K45</f>
        <v>12400017.039169205</v>
      </c>
      <c r="M45" s="269"/>
      <c r="N45" s="269"/>
      <c r="O45" s="269"/>
      <c r="P45" s="269"/>
      <c r="Q45" s="269"/>
    </row>
    <row r="46" spans="1:17">
      <c r="D46" s="277" t="s">
        <v>362</v>
      </c>
      <c r="E46" s="277" t="s">
        <v>29</v>
      </c>
      <c r="F46" s="180"/>
      <c r="H46" s="286">
        <f>H45*(1-$F$33)^'NPV Model'!H$29</f>
        <v>11966016.442798283</v>
      </c>
      <c r="I46" s="286">
        <f>I45*(1-$F$33)^'NPV Model'!I$29</f>
        <v>11547205.867300343</v>
      </c>
      <c r="J46" s="286">
        <f>J45*(1-$F$33)^'NPV Model'!J$29</f>
        <v>11143053.661944831</v>
      </c>
      <c r="K46" s="286">
        <f>K45*(1-$F$33)^'NPV Model'!K$29</f>
        <v>10753046.78377676</v>
      </c>
      <c r="L46" s="286">
        <f>L45*(1-$F$33)^'NPV Model'!L$29</f>
        <v>10376690.146344574</v>
      </c>
      <c r="M46" s="286"/>
      <c r="N46" s="286"/>
      <c r="O46" s="286"/>
      <c r="P46" s="286"/>
      <c r="Q46" s="286"/>
    </row>
    <row r="47" spans="1:17">
      <c r="D47" s="277" t="s">
        <v>36</v>
      </c>
      <c r="E47" s="277" t="s">
        <v>29</v>
      </c>
      <c r="F47" s="180"/>
      <c r="G47" s="269">
        <f>SUM(G44,H46:L46)</f>
        <v>81409012.902164787</v>
      </c>
      <c r="Q47" s="277"/>
    </row>
    <row r="48" spans="1:17">
      <c r="G48" s="269"/>
      <c r="Q48" s="277"/>
    </row>
    <row r="49" spans="4:17">
      <c r="D49" s="257" t="s">
        <v>509</v>
      </c>
      <c r="Q49" s="277"/>
    </row>
    <row r="50" spans="4:17">
      <c r="D50" s="277" t="s">
        <v>21</v>
      </c>
      <c r="E50" s="277" t="s">
        <v>29</v>
      </c>
      <c r="G50" s="269">
        <f>'Independent Model Outputs'!$I$10</f>
        <v>25623000</v>
      </c>
      <c r="Q50" s="277"/>
    </row>
    <row r="51" spans="4:17">
      <c r="D51" s="277" t="s">
        <v>22</v>
      </c>
      <c r="E51" s="277" t="s">
        <v>29</v>
      </c>
      <c r="H51" s="269">
        <f>'Independent Model Outputs'!$I$15</f>
        <v>8702332.3153072596</v>
      </c>
      <c r="I51" s="269">
        <f>H51</f>
        <v>8702332.3153072596</v>
      </c>
      <c r="J51" s="269">
        <f>I51</f>
        <v>8702332.3153072596</v>
      </c>
      <c r="K51" s="269">
        <f>J51</f>
        <v>8702332.3153072596</v>
      </c>
      <c r="L51" s="269">
        <f>K51</f>
        <v>8702332.3153072596</v>
      </c>
      <c r="Q51" s="277"/>
    </row>
    <row r="52" spans="4:17">
      <c r="D52" s="277" t="s">
        <v>362</v>
      </c>
      <c r="E52" s="277" t="s">
        <v>29</v>
      </c>
      <c r="H52" s="286">
        <f>H51*(1-$F$33)^'NPV Model'!H$29</f>
        <v>8397750.6842715051</v>
      </c>
      <c r="I52" s="286">
        <f>I51*(1-$F$33)^'NPV Model'!I$29</f>
        <v>8103829.4103220021</v>
      </c>
      <c r="J52" s="286">
        <f>J51*(1-$F$33)^'NPV Model'!J$29</f>
        <v>7820195.3809607318</v>
      </c>
      <c r="K52" s="286">
        <f>K51*(1-$F$33)^'NPV Model'!K$29</f>
        <v>7546488.5426271064</v>
      </c>
      <c r="L52" s="286">
        <f>L51*(1-$F$33)^'NPV Model'!L$29</f>
        <v>7282361.4436351573</v>
      </c>
      <c r="Q52" s="277"/>
    </row>
    <row r="53" spans="4:17">
      <c r="D53" s="277" t="s">
        <v>36</v>
      </c>
      <c r="E53" s="277" t="s">
        <v>29</v>
      </c>
      <c r="G53" s="269">
        <f>SUM(G50,H52:L52)</f>
        <v>64773625.461816505</v>
      </c>
      <c r="Q53" s="277"/>
    </row>
    <row r="54" spans="4:17">
      <c r="G54" s="269"/>
      <c r="Q54" s="277"/>
    </row>
    <row r="55" spans="4:17">
      <c r="D55" s="257" t="s">
        <v>650</v>
      </c>
      <c r="Q55" s="277"/>
    </row>
    <row r="56" spans="4:17">
      <c r="D56" s="277" t="s">
        <v>21</v>
      </c>
      <c r="E56" s="277" t="s">
        <v>29</v>
      </c>
      <c r="G56" s="269">
        <f>'Independent Model Outputs'!$J$10</f>
        <v>23795500</v>
      </c>
      <c r="Q56" s="277"/>
    </row>
    <row r="57" spans="4:17">
      <c r="D57" s="277" t="s">
        <v>22</v>
      </c>
      <c r="E57" s="277" t="s">
        <v>29</v>
      </c>
      <c r="H57" s="269">
        <f>'Independent Model Outputs'!$J$15</f>
        <v>2102465.3854542151</v>
      </c>
      <c r="I57" s="269">
        <f>H57</f>
        <v>2102465.3854542151</v>
      </c>
      <c r="J57" s="269">
        <f>I57</f>
        <v>2102465.3854542151</v>
      </c>
      <c r="K57" s="269">
        <f>J57</f>
        <v>2102465.3854542151</v>
      </c>
      <c r="L57" s="269">
        <f>K57</f>
        <v>2102465.3854542151</v>
      </c>
      <c r="Q57" s="277"/>
    </row>
    <row r="58" spans="4:17">
      <c r="D58" s="277" t="s">
        <v>362</v>
      </c>
      <c r="E58" s="277" t="s">
        <v>29</v>
      </c>
      <c r="H58" s="286">
        <f>H57*(1-$F$33)^'NPV Model'!H$29</f>
        <v>2028879.0969633176</v>
      </c>
      <c r="I58" s="286">
        <f>I57*(1-$F$33)^'NPV Model'!I$29</f>
        <v>1957868.3285696013</v>
      </c>
      <c r="J58" s="286">
        <f>J57*(1-$F$33)^'NPV Model'!J$29</f>
        <v>1889342.9370696652</v>
      </c>
      <c r="K58" s="286">
        <f>K57*(1-$F$33)^'NPV Model'!K$29</f>
        <v>1823215.9342722269</v>
      </c>
      <c r="L58" s="286">
        <f>L57*(1-$F$33)^'NPV Model'!L$29</f>
        <v>1759403.3765726988</v>
      </c>
      <c r="Q58" s="277"/>
    </row>
    <row r="59" spans="4:17">
      <c r="D59" s="277" t="s">
        <v>36</v>
      </c>
      <c r="E59" s="277" t="s">
        <v>29</v>
      </c>
      <c r="G59" s="269">
        <f>SUM(G56,H58:L58)</f>
        <v>33254209.673447508</v>
      </c>
      <c r="Q59" s="277"/>
    </row>
    <row r="60" spans="4:17">
      <c r="G60" s="269"/>
      <c r="Q60" s="277"/>
    </row>
    <row r="61" spans="4:17">
      <c r="D61" s="257" t="s">
        <v>17</v>
      </c>
      <c r="Q61" s="277"/>
    </row>
    <row r="62" spans="4:17">
      <c r="D62" s="180" t="s">
        <v>21</v>
      </c>
      <c r="E62" s="277" t="s">
        <v>29</v>
      </c>
      <c r="F62" s="180"/>
      <c r="G62" s="269">
        <f>'Independent Model Outputs'!$K$10</f>
        <v>17504250</v>
      </c>
      <c r="H62" s="180"/>
      <c r="I62" s="180"/>
      <c r="J62" s="180"/>
      <c r="K62" s="180"/>
      <c r="L62" s="180"/>
      <c r="Q62" s="277"/>
    </row>
    <row r="63" spans="4:17">
      <c r="D63" s="180" t="s">
        <v>22</v>
      </c>
      <c r="E63" s="277" t="s">
        <v>29</v>
      </c>
      <c r="F63" s="180"/>
      <c r="G63" s="180"/>
      <c r="H63" s="269">
        <f>'Independent Model Outputs'!$K$15</f>
        <v>5771972.3115760563</v>
      </c>
      <c r="I63" s="269">
        <f>H63</f>
        <v>5771972.3115760563</v>
      </c>
      <c r="J63" s="269">
        <f>I63</f>
        <v>5771972.3115760563</v>
      </c>
      <c r="K63" s="269">
        <f>J63</f>
        <v>5771972.3115760563</v>
      </c>
      <c r="L63" s="269">
        <f>K63</f>
        <v>5771972.3115760563</v>
      </c>
      <c r="M63" s="269"/>
      <c r="N63" s="269"/>
      <c r="O63" s="269"/>
      <c r="P63" s="269"/>
      <c r="Q63" s="269"/>
    </row>
    <row r="64" spans="4:17">
      <c r="D64" s="277" t="s">
        <v>362</v>
      </c>
      <c r="E64" s="277" t="s">
        <v>29</v>
      </c>
      <c r="F64" s="180"/>
      <c r="G64" s="180"/>
      <c r="H64" s="286">
        <f>H63*(1-$F$33)^'NPV Model'!H$29</f>
        <v>5569953.2806708943</v>
      </c>
      <c r="I64" s="286">
        <f>I63*(1-$F$33)^'NPV Model'!I$29</f>
        <v>5375004.9158474132</v>
      </c>
      <c r="J64" s="286">
        <f>J63*(1-$F$33)^'NPV Model'!J$29</f>
        <v>5186879.7437927527</v>
      </c>
      <c r="K64" s="286">
        <f>K63*(1-$F$33)^'NPV Model'!K$29</f>
        <v>5005338.9527600063</v>
      </c>
      <c r="L64" s="286">
        <f>L63*(1-$F$33)^'NPV Model'!L$29</f>
        <v>4830152.0894134063</v>
      </c>
      <c r="M64" s="286"/>
      <c r="N64" s="286"/>
      <c r="O64" s="286"/>
      <c r="P64" s="286"/>
      <c r="Q64" s="286"/>
    </row>
    <row r="65" spans="3:17">
      <c r="D65" s="277" t="s">
        <v>36</v>
      </c>
      <c r="E65" s="277" t="s">
        <v>29</v>
      </c>
      <c r="G65" s="269">
        <f>SUM(G62,H64:L64)</f>
        <v>43471578.982484467</v>
      </c>
      <c r="H65" s="180"/>
      <c r="I65" s="180"/>
      <c r="J65" s="180"/>
      <c r="K65" s="180"/>
      <c r="L65" s="180"/>
      <c r="Q65" s="277"/>
    </row>
    <row r="66" spans="3:17">
      <c r="Q66" s="277"/>
    </row>
    <row r="67" spans="3:17">
      <c r="C67" s="257" t="s">
        <v>463</v>
      </c>
      <c r="Q67" s="277"/>
    </row>
    <row r="68" spans="3:17">
      <c r="Q68" s="277"/>
    </row>
    <row r="69" spans="3:17">
      <c r="D69" s="257" t="s">
        <v>15</v>
      </c>
      <c r="Q69" s="277"/>
    </row>
    <row r="70" spans="3:17">
      <c r="D70" s="277" t="s">
        <v>21</v>
      </c>
      <c r="E70" s="277" t="s">
        <v>29</v>
      </c>
      <c r="G70" s="286">
        <f>'Industry Model Outputs'!$F$30</f>
        <v>35240968.493274555</v>
      </c>
      <c r="Q70" s="277"/>
    </row>
    <row r="71" spans="3:17">
      <c r="D71" s="277" t="s">
        <v>22</v>
      </c>
      <c r="E71" s="277" t="s">
        <v>29</v>
      </c>
      <c r="H71" s="286">
        <f ca="1">'Industry Model Outputs'!$F$46</f>
        <v>4520688.2138400748</v>
      </c>
      <c r="I71" s="286">
        <f ca="1">H71</f>
        <v>4520688.2138400748</v>
      </c>
      <c r="J71" s="286">
        <f ca="1">I71</f>
        <v>4520688.2138400748</v>
      </c>
      <c r="K71" s="286">
        <f ca="1">J71</f>
        <v>4520688.2138400748</v>
      </c>
      <c r="L71" s="286">
        <f ca="1">K71</f>
        <v>4520688.2138400748</v>
      </c>
      <c r="M71" s="286"/>
      <c r="N71" s="286"/>
      <c r="O71" s="286"/>
      <c r="P71" s="286"/>
      <c r="Q71" s="286"/>
    </row>
    <row r="72" spans="3:17">
      <c r="D72" s="277" t="s">
        <v>362</v>
      </c>
      <c r="E72" s="277" t="s">
        <v>29</v>
      </c>
      <c r="H72" s="286">
        <f ca="1">H71*(1-$F$33)^'NPV Model'!H$29</f>
        <v>4362464.1263556723</v>
      </c>
      <c r="I72" s="286">
        <f ca="1">I71*(1-$F$33)^'NPV Model'!I$29</f>
        <v>4209777.8819332235</v>
      </c>
      <c r="J72" s="286">
        <f ca="1">J71*(1-$F$33)^'NPV Model'!J$29</f>
        <v>4062435.6560655604</v>
      </c>
      <c r="K72" s="286">
        <f ca="1">K71*(1-$F$33)^'NPV Model'!K$29</f>
        <v>3920250.4081032658</v>
      </c>
      <c r="L72" s="286">
        <f ca="1">L71*(1-$F$33)^'NPV Model'!L$29</f>
        <v>3783041.6438196511</v>
      </c>
      <c r="M72" s="286"/>
      <c r="N72" s="286"/>
      <c r="O72" s="286"/>
      <c r="P72" s="286"/>
      <c r="Q72" s="286"/>
    </row>
    <row r="73" spans="3:17">
      <c r="D73" s="277" t="s">
        <v>36</v>
      </c>
      <c r="E73" s="277" t="s">
        <v>29</v>
      </c>
      <c r="G73" s="269">
        <f ca="1">SUM(G70,H72:L72)</f>
        <v>55578938.209551923</v>
      </c>
      <c r="Q73" s="277"/>
    </row>
    <row r="74" spans="3:17">
      <c r="Q74" s="277"/>
    </row>
    <row r="75" spans="3:17">
      <c r="D75" s="257" t="s">
        <v>16</v>
      </c>
      <c r="Q75" s="277"/>
    </row>
    <row r="76" spans="3:17">
      <c r="D76" s="277" t="s">
        <v>21</v>
      </c>
      <c r="E76" s="277" t="s">
        <v>29</v>
      </c>
      <c r="G76" s="286">
        <f>'Industry Model Outputs'!$G$30</f>
        <v>38846437.94474794</v>
      </c>
      <c r="H76" s="286"/>
      <c r="I76" s="286"/>
      <c r="Q76" s="277"/>
    </row>
    <row r="77" spans="3:17">
      <c r="D77" s="277" t="s">
        <v>22</v>
      </c>
      <c r="E77" s="277" t="s">
        <v>29</v>
      </c>
      <c r="G77" s="286"/>
      <c r="H77" s="286">
        <f ca="1">'Industry Model Outputs'!$G$46</f>
        <v>14229150.285190277</v>
      </c>
      <c r="I77" s="286">
        <f ca="1">H77</f>
        <v>14229150.285190277</v>
      </c>
      <c r="J77" s="286">
        <f ca="1">I77</f>
        <v>14229150.285190277</v>
      </c>
      <c r="K77" s="286">
        <f ca="1">J77</f>
        <v>14229150.285190277</v>
      </c>
      <c r="L77" s="286">
        <f ca="1">K77</f>
        <v>14229150.285190277</v>
      </c>
      <c r="M77" s="286"/>
      <c r="N77" s="286"/>
      <c r="O77" s="286"/>
      <c r="P77" s="286"/>
      <c r="Q77" s="286"/>
    </row>
    <row r="78" spans="3:17">
      <c r="D78" s="277" t="s">
        <v>362</v>
      </c>
      <c r="E78" s="277" t="s">
        <v>29</v>
      </c>
      <c r="G78" s="286"/>
      <c r="H78" s="286">
        <f ca="1">H77*(1-$F$33)^'NPV Model'!H$29</f>
        <v>13731130.025208617</v>
      </c>
      <c r="I78" s="286">
        <f ca="1">I77*(1-$F$33)^'NPV Model'!I$29</f>
        <v>13250540.474326314</v>
      </c>
      <c r="J78" s="286">
        <f ca="1">J77*(1-$F$33)^'NPV Model'!J$29</f>
        <v>12786771.557724893</v>
      </c>
      <c r="K78" s="286">
        <f ca="1">K77*(1-$F$33)^'NPV Model'!K$29</f>
        <v>12339234.553204522</v>
      </c>
      <c r="L78" s="286">
        <f ca="1">L77*(1-$F$33)^'NPV Model'!L$29</f>
        <v>11907361.343842363</v>
      </c>
      <c r="M78" s="286"/>
      <c r="N78" s="286"/>
      <c r="O78" s="286"/>
      <c r="P78" s="286"/>
      <c r="Q78" s="286"/>
    </row>
    <row r="79" spans="3:17">
      <c r="D79" s="277" t="s">
        <v>36</v>
      </c>
      <c r="E79" s="277" t="s">
        <v>29</v>
      </c>
      <c r="G79" s="269">
        <f ca="1">SUM(G76,H78:L78)</f>
        <v>102861475.89905463</v>
      </c>
      <c r="H79" s="286"/>
      <c r="I79" s="286"/>
      <c r="Q79" s="277"/>
    </row>
    <row r="80" spans="3:17" ht="12" customHeight="1">
      <c r="G80" s="286"/>
      <c r="H80" s="286"/>
      <c r="I80" s="286"/>
      <c r="Q80" s="277"/>
    </row>
    <row r="81" spans="2:17" ht="12" customHeight="1">
      <c r="D81" s="257" t="s">
        <v>17</v>
      </c>
      <c r="G81" s="286"/>
      <c r="H81" s="286"/>
      <c r="I81" s="286"/>
      <c r="Q81" s="277"/>
    </row>
    <row r="82" spans="2:17">
      <c r="D82" s="277" t="s">
        <v>21</v>
      </c>
      <c r="E82" s="277" t="s">
        <v>29</v>
      </c>
      <c r="G82" s="286">
        <f>'Industry Model Outputs'!$H$30</f>
        <v>27501472.402289465</v>
      </c>
      <c r="H82" s="286"/>
      <c r="I82" s="286"/>
      <c r="Q82" s="277"/>
    </row>
    <row r="83" spans="2:17">
      <c r="D83" s="277" t="s">
        <v>22</v>
      </c>
      <c r="E83" s="277" t="s">
        <v>29</v>
      </c>
      <c r="G83" s="286"/>
      <c r="H83" s="286">
        <f ca="1">'Industry Model Outputs'!$H$46</f>
        <v>4715835.9151163623</v>
      </c>
      <c r="I83" s="286">
        <f ca="1">$H$83</f>
        <v>4715835.9151163623</v>
      </c>
      <c r="J83" s="286">
        <f t="shared" ref="J83:L83" ca="1" si="2">$H$83</f>
        <v>4715835.9151163623</v>
      </c>
      <c r="K83" s="286">
        <f t="shared" ca="1" si="2"/>
        <v>4715835.9151163623</v>
      </c>
      <c r="L83" s="286">
        <f t="shared" ca="1" si="2"/>
        <v>4715835.9151163623</v>
      </c>
      <c r="M83" s="286"/>
      <c r="N83" s="286"/>
      <c r="O83" s="286"/>
      <c r="P83" s="286"/>
      <c r="Q83" s="286"/>
    </row>
    <row r="84" spans="2:17">
      <c r="D84" s="277" t="s">
        <v>362</v>
      </c>
      <c r="E84" s="277" t="s">
        <v>29</v>
      </c>
      <c r="H84" s="286">
        <f ca="1">H83*(1-$F$33)^'NPV Model'!H$29</f>
        <v>4550781.6580872899</v>
      </c>
      <c r="I84" s="286">
        <f ca="1">I83*(1-$F$33)^'NPV Model'!I$29</f>
        <v>4391504.3000542345</v>
      </c>
      <c r="J84" s="286">
        <f ca="1">J83*(1-$F$33)^'NPV Model'!J$29</f>
        <v>4237801.649552336</v>
      </c>
      <c r="K84" s="286">
        <f ca="1">K83*(1-$F$33)^'NPV Model'!K$29</f>
        <v>4089478.5918180039</v>
      </c>
      <c r="L84" s="286">
        <f ca="1">L83*(1-$F$33)^'NPV Model'!L$29</f>
        <v>3946346.8411043738</v>
      </c>
      <c r="M84" s="286"/>
      <c r="N84" s="286"/>
      <c r="O84" s="286"/>
      <c r="P84" s="286"/>
      <c r="Q84" s="286"/>
    </row>
    <row r="85" spans="2:17">
      <c r="D85" s="277" t="s">
        <v>36</v>
      </c>
      <c r="E85" s="277" t="s">
        <v>29</v>
      </c>
      <c r="G85" s="269">
        <f ca="1">SUM(G82,H84:L84)</f>
        <v>48717385.442905709</v>
      </c>
    </row>
    <row r="86" spans="2:17" hidden="1"/>
    <row r="87" spans="2:17" hidden="1"/>
    <row r="88" spans="2:17" hidden="1"/>
    <row r="89" spans="2:17" hidden="1"/>
    <row r="90" spans="2:17" hidden="1"/>
    <row r="92" spans="2:17" s="259" customFormat="1">
      <c r="B92" s="259" t="s">
        <v>437</v>
      </c>
      <c r="D92" s="259" t="s">
        <v>365</v>
      </c>
      <c r="E92" s="259" t="s">
        <v>20</v>
      </c>
      <c r="G92" s="51">
        <v>0</v>
      </c>
      <c r="H92" s="51">
        <v>1</v>
      </c>
      <c r="I92" s="51">
        <v>2</v>
      </c>
      <c r="J92" s="51">
        <v>3</v>
      </c>
      <c r="K92" s="51">
        <v>4</v>
      </c>
      <c r="L92" s="259">
        <v>5</v>
      </c>
      <c r="M92" s="259">
        <v>6</v>
      </c>
      <c r="N92" s="259">
        <v>7</v>
      </c>
      <c r="O92" s="259">
        <v>8</v>
      </c>
      <c r="P92" s="259">
        <v>9</v>
      </c>
      <c r="Q92" s="259">
        <v>10</v>
      </c>
    </row>
    <row r="94" spans="2:17">
      <c r="C94" s="257" t="s">
        <v>364</v>
      </c>
    </row>
    <row r="95" spans="2:17">
      <c r="C95" s="257"/>
    </row>
    <row r="96" spans="2:17">
      <c r="C96" s="257"/>
      <c r="D96" s="257" t="s">
        <v>15</v>
      </c>
    </row>
    <row r="97" spans="4:17">
      <c r="D97" s="277" t="s">
        <v>21</v>
      </c>
      <c r="E97" s="277" t="s">
        <v>29</v>
      </c>
      <c r="G97" s="269">
        <f>'Independent Model Outputs'!$G$10</f>
        <v>28050000</v>
      </c>
    </row>
    <row r="98" spans="4:17">
      <c r="D98" s="277" t="s">
        <v>22</v>
      </c>
      <c r="E98" s="277" t="s">
        <v>29</v>
      </c>
      <c r="H98" s="269">
        <f>'Independent Model Outputs'!$G$15</f>
        <v>6383669.575536265</v>
      </c>
      <c r="I98" s="269">
        <f>'Independent Model Outputs'!$G$15</f>
        <v>6383669.575536265</v>
      </c>
      <c r="J98" s="269">
        <f>'Independent Model Outputs'!$G$15</f>
        <v>6383669.575536265</v>
      </c>
      <c r="K98" s="269">
        <f>'Independent Model Outputs'!$G$15</f>
        <v>6383669.575536265</v>
      </c>
      <c r="L98" s="269">
        <f>'Independent Model Outputs'!$G$15</f>
        <v>6383669.575536265</v>
      </c>
      <c r="M98" s="269">
        <f>'Independent Model Outputs'!$G$15</f>
        <v>6383669.575536265</v>
      </c>
      <c r="N98" s="269">
        <f>'Independent Model Outputs'!$G$15</f>
        <v>6383669.575536265</v>
      </c>
      <c r="O98" s="269">
        <f>'Independent Model Outputs'!$G$15</f>
        <v>6383669.575536265</v>
      </c>
      <c r="P98" s="269">
        <f>'Independent Model Outputs'!$G$15</f>
        <v>6383669.575536265</v>
      </c>
      <c r="Q98" s="269">
        <f>'Independent Model Outputs'!$G$15</f>
        <v>6383669.575536265</v>
      </c>
    </row>
    <row r="99" spans="4:17">
      <c r="D99" s="277" t="s">
        <v>362</v>
      </c>
      <c r="E99" s="277" t="s">
        <v>29</v>
      </c>
      <c r="H99" s="286">
        <f t="shared" ref="H99:Q99" si="3">H98*(1-$F$33)^H$29</f>
        <v>6160241.1403924953</v>
      </c>
      <c r="I99" s="286">
        <f t="shared" si="3"/>
        <v>5944632.7004787587</v>
      </c>
      <c r="J99" s="286">
        <f t="shared" si="3"/>
        <v>5736570.555962001</v>
      </c>
      <c r="K99" s="286">
        <f t="shared" si="3"/>
        <v>5535790.5865033315</v>
      </c>
      <c r="L99" s="286">
        <f t="shared" si="3"/>
        <v>5342037.9159757141</v>
      </c>
      <c r="M99" s="286">
        <f t="shared" si="3"/>
        <v>5155066.5889165644</v>
      </c>
      <c r="N99" s="286">
        <f t="shared" si="3"/>
        <v>4974639.2583044842</v>
      </c>
      <c r="O99" s="286">
        <f t="shared" si="3"/>
        <v>4800526.8842638265</v>
      </c>
      <c r="P99" s="286">
        <f t="shared" si="3"/>
        <v>4632508.4433145933</v>
      </c>
      <c r="Q99" s="286">
        <f t="shared" si="3"/>
        <v>4470370.647798582</v>
      </c>
    </row>
    <row r="100" spans="4:17">
      <c r="D100" s="277" t="s">
        <v>36</v>
      </c>
      <c r="E100" s="277" t="s">
        <v>29</v>
      </c>
      <c r="G100" s="269">
        <f>SUM(G97,H99:Q99)</f>
        <v>80802384.721910357</v>
      </c>
    </row>
    <row r="102" spans="4:17">
      <c r="D102" s="257" t="s">
        <v>16</v>
      </c>
    </row>
    <row r="103" spans="4:17">
      <c r="D103" s="277" t="s">
        <v>21</v>
      </c>
      <c r="E103" s="277" t="s">
        <v>29</v>
      </c>
      <c r="G103" s="269">
        <f>'Independent Model Outputs'!$H$10</f>
        <v>25623000</v>
      </c>
    </row>
    <row r="104" spans="4:17">
      <c r="D104" s="277" t="s">
        <v>22</v>
      </c>
      <c r="E104" s="277" t="s">
        <v>29</v>
      </c>
      <c r="H104" s="269">
        <f>'Independent Model Outputs'!$H$15</f>
        <v>12400017.039169205</v>
      </c>
      <c r="I104" s="269">
        <f>H104</f>
        <v>12400017.039169205</v>
      </c>
      <c r="J104" s="269">
        <f t="shared" ref="J104:Q104" si="4">I104</f>
        <v>12400017.039169205</v>
      </c>
      <c r="K104" s="269">
        <f t="shared" si="4"/>
        <v>12400017.039169205</v>
      </c>
      <c r="L104" s="269">
        <f t="shared" si="4"/>
        <v>12400017.039169205</v>
      </c>
      <c r="M104" s="269">
        <f t="shared" si="4"/>
        <v>12400017.039169205</v>
      </c>
      <c r="N104" s="269">
        <f t="shared" si="4"/>
        <v>12400017.039169205</v>
      </c>
      <c r="O104" s="269">
        <f t="shared" si="4"/>
        <v>12400017.039169205</v>
      </c>
      <c r="P104" s="269">
        <f t="shared" si="4"/>
        <v>12400017.039169205</v>
      </c>
      <c r="Q104" s="269">
        <f t="shared" si="4"/>
        <v>12400017.039169205</v>
      </c>
    </row>
    <row r="105" spans="4:17">
      <c r="D105" s="277" t="s">
        <v>362</v>
      </c>
      <c r="E105" s="277" t="s">
        <v>29</v>
      </c>
      <c r="H105" s="286">
        <f t="shared" ref="H105:Q105" si="5">H104*(1-$F$33)^H$29</f>
        <v>11966016.442798283</v>
      </c>
      <c r="I105" s="286">
        <f t="shared" si="5"/>
        <v>11547205.867300343</v>
      </c>
      <c r="J105" s="286">
        <f t="shared" si="5"/>
        <v>11143053.661944831</v>
      </c>
      <c r="K105" s="286">
        <f t="shared" si="5"/>
        <v>10753046.78377676</v>
      </c>
      <c r="L105" s="286">
        <f t="shared" si="5"/>
        <v>10376690.146344574</v>
      </c>
      <c r="M105" s="286">
        <f t="shared" si="5"/>
        <v>10013505.991222514</v>
      </c>
      <c r="N105" s="286">
        <f t="shared" si="5"/>
        <v>9663033.2815297246</v>
      </c>
      <c r="O105" s="286">
        <f t="shared" si="5"/>
        <v>9324827.1166761834</v>
      </c>
      <c r="P105" s="286">
        <f t="shared" si="5"/>
        <v>8998458.167592518</v>
      </c>
      <c r="Q105" s="286">
        <f t="shared" si="5"/>
        <v>8683512.131726779</v>
      </c>
    </row>
    <row r="106" spans="4:17">
      <c r="D106" s="277" t="s">
        <v>36</v>
      </c>
      <c r="E106" s="277" t="s">
        <v>29</v>
      </c>
      <c r="G106" s="269">
        <f>SUM(G103,H105:Q105)</f>
        <v>128092349.59091249</v>
      </c>
    </row>
    <row r="107" spans="4:17">
      <c r="G107" s="269"/>
    </row>
    <row r="108" spans="4:17">
      <c r="D108" s="257" t="s">
        <v>509</v>
      </c>
    </row>
    <row r="109" spans="4:17">
      <c r="D109" s="277" t="s">
        <v>21</v>
      </c>
      <c r="E109" s="277" t="s">
        <v>29</v>
      </c>
      <c r="G109" s="269">
        <f>'Independent Model Outputs'!$I$10</f>
        <v>25623000</v>
      </c>
    </row>
    <row r="110" spans="4:17">
      <c r="D110" s="277" t="s">
        <v>22</v>
      </c>
      <c r="E110" s="277" t="s">
        <v>29</v>
      </c>
      <c r="H110" s="269">
        <f>'Independent Model Outputs'!$I$15</f>
        <v>8702332.3153072596</v>
      </c>
      <c r="I110" s="269">
        <f>H110</f>
        <v>8702332.3153072596</v>
      </c>
      <c r="J110" s="269">
        <f t="shared" ref="J110:Q110" si="6">I110</f>
        <v>8702332.3153072596</v>
      </c>
      <c r="K110" s="269">
        <f t="shared" si="6"/>
        <v>8702332.3153072596</v>
      </c>
      <c r="L110" s="269">
        <f t="shared" si="6"/>
        <v>8702332.3153072596</v>
      </c>
      <c r="M110" s="269">
        <f t="shared" si="6"/>
        <v>8702332.3153072596</v>
      </c>
      <c r="N110" s="269">
        <f t="shared" si="6"/>
        <v>8702332.3153072596</v>
      </c>
      <c r="O110" s="269">
        <f t="shared" si="6"/>
        <v>8702332.3153072596</v>
      </c>
      <c r="P110" s="269">
        <f t="shared" si="6"/>
        <v>8702332.3153072596</v>
      </c>
      <c r="Q110" s="269">
        <f t="shared" si="6"/>
        <v>8702332.3153072596</v>
      </c>
    </row>
    <row r="111" spans="4:17">
      <c r="D111" s="277" t="s">
        <v>362</v>
      </c>
      <c r="E111" s="277" t="s">
        <v>29</v>
      </c>
      <c r="H111" s="286">
        <f t="shared" ref="H111:Q111" si="7">H110*(1-$F$33)^H$29</f>
        <v>8397750.6842715051</v>
      </c>
      <c r="I111" s="286">
        <f t="shared" si="7"/>
        <v>8103829.4103220021</v>
      </c>
      <c r="J111" s="286">
        <f t="shared" si="7"/>
        <v>7820195.3809607318</v>
      </c>
      <c r="K111" s="286">
        <f t="shared" si="7"/>
        <v>7546488.5426271064</v>
      </c>
      <c r="L111" s="286">
        <f t="shared" si="7"/>
        <v>7282361.4436351573</v>
      </c>
      <c r="M111" s="286">
        <f t="shared" si="7"/>
        <v>7027478.7931079268</v>
      </c>
      <c r="N111" s="286">
        <f t="shared" si="7"/>
        <v>6781517.0353491483</v>
      </c>
      <c r="O111" s="286">
        <f t="shared" si="7"/>
        <v>6544163.9391119285</v>
      </c>
      <c r="P111" s="286">
        <f t="shared" si="7"/>
        <v>6315118.2012430103</v>
      </c>
      <c r="Q111" s="286">
        <f t="shared" si="7"/>
        <v>6094089.0641995054</v>
      </c>
    </row>
    <row r="112" spans="4:17">
      <c r="D112" s="277" t="s">
        <v>36</v>
      </c>
      <c r="E112" s="277" t="s">
        <v>29</v>
      </c>
      <c r="G112" s="269">
        <f>SUM(G109,H111:Q111)</f>
        <v>97535992.49482803</v>
      </c>
    </row>
    <row r="113" spans="3:17">
      <c r="G113" s="269"/>
    </row>
    <row r="114" spans="3:17">
      <c r="D114" s="257" t="s">
        <v>650</v>
      </c>
    </row>
    <row r="115" spans="3:17">
      <c r="D115" s="277" t="s">
        <v>21</v>
      </c>
      <c r="E115" s="277" t="s">
        <v>29</v>
      </c>
      <c r="G115" s="269">
        <f>'Independent Model Outputs'!$J$10</f>
        <v>23795500</v>
      </c>
    </row>
    <row r="116" spans="3:17">
      <c r="D116" s="277" t="s">
        <v>22</v>
      </c>
      <c r="E116" s="277" t="s">
        <v>29</v>
      </c>
      <c r="H116" s="269">
        <f>'Independent Model Outputs'!$J$15</f>
        <v>2102465.3854542151</v>
      </c>
      <c r="I116" s="269">
        <f>H116</f>
        <v>2102465.3854542151</v>
      </c>
      <c r="J116" s="269">
        <f t="shared" ref="J116:Q116" si="8">I116</f>
        <v>2102465.3854542151</v>
      </c>
      <c r="K116" s="269">
        <f t="shared" si="8"/>
        <v>2102465.3854542151</v>
      </c>
      <c r="L116" s="269">
        <f t="shared" si="8"/>
        <v>2102465.3854542151</v>
      </c>
      <c r="M116" s="269">
        <f t="shared" si="8"/>
        <v>2102465.3854542151</v>
      </c>
      <c r="N116" s="269">
        <f t="shared" si="8"/>
        <v>2102465.3854542151</v>
      </c>
      <c r="O116" s="269">
        <f t="shared" si="8"/>
        <v>2102465.3854542151</v>
      </c>
      <c r="P116" s="269">
        <f t="shared" si="8"/>
        <v>2102465.3854542151</v>
      </c>
      <c r="Q116" s="269">
        <f t="shared" si="8"/>
        <v>2102465.3854542151</v>
      </c>
    </row>
    <row r="117" spans="3:17">
      <c r="D117" s="277" t="s">
        <v>362</v>
      </c>
      <c r="E117" s="277" t="s">
        <v>29</v>
      </c>
      <c r="H117" s="286">
        <f t="shared" ref="H117:Q117" si="9">H116*(1-$F$33)^H$29</f>
        <v>2028879.0969633176</v>
      </c>
      <c r="I117" s="286">
        <f t="shared" si="9"/>
        <v>1957868.3285696013</v>
      </c>
      <c r="J117" s="286">
        <f t="shared" si="9"/>
        <v>1889342.9370696652</v>
      </c>
      <c r="K117" s="286">
        <f t="shared" si="9"/>
        <v>1823215.9342722269</v>
      </c>
      <c r="L117" s="286">
        <f t="shared" si="9"/>
        <v>1759403.3765726988</v>
      </c>
      <c r="M117" s="286">
        <f t="shared" si="9"/>
        <v>1697824.2583926544</v>
      </c>
      <c r="N117" s="286">
        <f t="shared" si="9"/>
        <v>1638400.4093489114</v>
      </c>
      <c r="O117" s="286">
        <f t="shared" si="9"/>
        <v>1581056.3950216994</v>
      </c>
      <c r="P117" s="286">
        <f t="shared" si="9"/>
        <v>1525719.4211959399</v>
      </c>
      <c r="Q117" s="286">
        <f t="shared" si="9"/>
        <v>1472319.2414540821</v>
      </c>
    </row>
    <row r="118" spans="3:17">
      <c r="D118" s="277" t="s">
        <v>36</v>
      </c>
      <c r="E118" s="277" t="s">
        <v>29</v>
      </c>
      <c r="G118" s="269">
        <f>SUM(G115,H117:Q117)</f>
        <v>41169529.398860797</v>
      </c>
    </row>
    <row r="120" spans="3:17">
      <c r="D120" s="257" t="s">
        <v>17</v>
      </c>
    </row>
    <row r="121" spans="3:17">
      <c r="D121" s="277" t="s">
        <v>21</v>
      </c>
      <c r="E121" s="277" t="s">
        <v>29</v>
      </c>
      <c r="G121" s="269">
        <f>'Independent Model Outputs'!$K$10</f>
        <v>17504250</v>
      </c>
    </row>
    <row r="122" spans="3:17">
      <c r="D122" s="277" t="s">
        <v>22</v>
      </c>
      <c r="E122" s="277" t="s">
        <v>29</v>
      </c>
      <c r="H122" s="269">
        <f>'Independent Model Outputs'!$K$15</f>
        <v>5771972.3115760563</v>
      </c>
      <c r="I122" s="269">
        <f>H122</f>
        <v>5771972.3115760563</v>
      </c>
      <c r="J122" s="269">
        <f t="shared" ref="J122:Q122" si="10">I122</f>
        <v>5771972.3115760563</v>
      </c>
      <c r="K122" s="269">
        <f t="shared" si="10"/>
        <v>5771972.3115760563</v>
      </c>
      <c r="L122" s="269">
        <f t="shared" si="10"/>
        <v>5771972.3115760563</v>
      </c>
      <c r="M122" s="269">
        <f t="shared" si="10"/>
        <v>5771972.3115760563</v>
      </c>
      <c r="N122" s="269">
        <f t="shared" si="10"/>
        <v>5771972.3115760563</v>
      </c>
      <c r="O122" s="269">
        <f t="shared" si="10"/>
        <v>5771972.3115760563</v>
      </c>
      <c r="P122" s="269">
        <f t="shared" si="10"/>
        <v>5771972.3115760563</v>
      </c>
      <c r="Q122" s="269">
        <f t="shared" si="10"/>
        <v>5771972.3115760563</v>
      </c>
    </row>
    <row r="123" spans="3:17">
      <c r="D123" s="277" t="s">
        <v>362</v>
      </c>
      <c r="E123" s="277" t="s">
        <v>29</v>
      </c>
      <c r="H123" s="286">
        <f t="shared" ref="H123:Q123" si="11">H122*(1-$F$33)^H$29</f>
        <v>5569953.2806708943</v>
      </c>
      <c r="I123" s="286">
        <f t="shared" si="11"/>
        <v>5375004.9158474132</v>
      </c>
      <c r="J123" s="286">
        <f t="shared" si="11"/>
        <v>5186879.7437927527</v>
      </c>
      <c r="K123" s="286">
        <f t="shared" si="11"/>
        <v>5005338.9527600063</v>
      </c>
      <c r="L123" s="286">
        <f t="shared" si="11"/>
        <v>4830152.0894134063</v>
      </c>
      <c r="M123" s="286">
        <f t="shared" si="11"/>
        <v>4661096.7662839368</v>
      </c>
      <c r="N123" s="286">
        <f t="shared" si="11"/>
        <v>4497958.3794639986</v>
      </c>
      <c r="O123" s="286">
        <f t="shared" si="11"/>
        <v>4340529.8361827582</v>
      </c>
      <c r="P123" s="286">
        <f t="shared" si="11"/>
        <v>4188611.291916362</v>
      </c>
      <c r="Q123" s="286">
        <f t="shared" si="11"/>
        <v>4042009.8966992893</v>
      </c>
    </row>
    <row r="124" spans="3:17">
      <c r="D124" s="277" t="s">
        <v>36</v>
      </c>
      <c r="E124" s="277" t="s">
        <v>29</v>
      </c>
      <c r="G124" s="269">
        <f>SUM(G121,H123:Q123)</f>
        <v>65201785.153030813</v>
      </c>
    </row>
    <row r="126" spans="3:17">
      <c r="C126" s="257" t="s">
        <v>463</v>
      </c>
    </row>
    <row r="128" spans="3:17">
      <c r="D128" s="257" t="s">
        <v>15</v>
      </c>
    </row>
    <row r="129" spans="4:17">
      <c r="D129" s="277" t="s">
        <v>21</v>
      </c>
      <c r="E129" s="277" t="s">
        <v>29</v>
      </c>
      <c r="G129" s="286">
        <f>'Industry Model Outputs'!$F$30</f>
        <v>35240968.493274555</v>
      </c>
    </row>
    <row r="130" spans="4:17">
      <c r="D130" s="277" t="s">
        <v>22</v>
      </c>
      <c r="E130" s="277" t="s">
        <v>29</v>
      </c>
      <c r="H130" s="286">
        <f ca="1">'Industry Model Outputs'!$F$46</f>
        <v>4520688.2138400748</v>
      </c>
      <c r="I130" s="286">
        <f ca="1">H130</f>
        <v>4520688.2138400748</v>
      </c>
      <c r="J130" s="286">
        <f ca="1">I130</f>
        <v>4520688.2138400748</v>
      </c>
      <c r="K130" s="286">
        <f ca="1">J130</f>
        <v>4520688.2138400748</v>
      </c>
      <c r="L130" s="286">
        <f ca="1">K130</f>
        <v>4520688.2138400748</v>
      </c>
      <c r="M130" s="286">
        <f t="shared" ref="M130:Q130" ca="1" si="12">L130</f>
        <v>4520688.2138400748</v>
      </c>
      <c r="N130" s="286">
        <f t="shared" ca="1" si="12"/>
        <v>4520688.2138400748</v>
      </c>
      <c r="O130" s="286">
        <f t="shared" ca="1" si="12"/>
        <v>4520688.2138400748</v>
      </c>
      <c r="P130" s="286">
        <f t="shared" ca="1" si="12"/>
        <v>4520688.2138400748</v>
      </c>
      <c r="Q130" s="286">
        <f t="shared" ca="1" si="12"/>
        <v>4520688.2138400748</v>
      </c>
    </row>
    <row r="131" spans="4:17">
      <c r="D131" s="277" t="s">
        <v>362</v>
      </c>
      <c r="E131" s="277" t="s">
        <v>29</v>
      </c>
      <c r="H131" s="286">
        <f ca="1">H130*(1-$F$33)^'NPV Model'!H$29</f>
        <v>4362464.1263556723</v>
      </c>
      <c r="I131" s="286">
        <f ca="1">I130*(1-$F$33)^'NPV Model'!I$29</f>
        <v>4209777.8819332235</v>
      </c>
      <c r="J131" s="286">
        <f ca="1">J130*(1-$F$33)^'NPV Model'!J$29</f>
        <v>4062435.6560655604</v>
      </c>
      <c r="K131" s="286">
        <f ca="1">K130*(1-$F$33)^'NPV Model'!K$29</f>
        <v>3920250.4081032658</v>
      </c>
      <c r="L131" s="286">
        <f ca="1">L130*(1-$F$33)^'NPV Model'!L$29</f>
        <v>3783041.6438196511</v>
      </c>
      <c r="M131" s="286">
        <f ca="1">M130*(1-$F$33)^'NPV Model'!M$29</f>
        <v>3650635.1862859633</v>
      </c>
      <c r="N131" s="286">
        <f ca="1">N130*(1-$F$33)^'NPV Model'!N$29</f>
        <v>3522862.9547659545</v>
      </c>
      <c r="O131" s="286">
        <f ca="1">O130*(1-$F$33)^'NPV Model'!O$29</f>
        <v>3399562.751349146</v>
      </c>
      <c r="P131" s="286">
        <f ca="1">P130*(1-$F$33)^'NPV Model'!P$29</f>
        <v>3280578.0550519256</v>
      </c>
      <c r="Q131" s="286">
        <f ca="1">Q130*(1-$F$33)^'NPV Model'!Q$29</f>
        <v>3165757.8231251081</v>
      </c>
    </row>
    <row r="132" spans="4:17">
      <c r="D132" s="277" t="s">
        <v>36</v>
      </c>
      <c r="E132" s="277" t="s">
        <v>29</v>
      </c>
      <c r="G132" s="269">
        <f ca="1">SUM(G129,H131:Q131)</f>
        <v>72598334.980130017</v>
      </c>
      <c r="Q132" s="277"/>
    </row>
    <row r="133" spans="4:17">
      <c r="Q133" s="277"/>
    </row>
    <row r="134" spans="4:17">
      <c r="D134" s="257" t="s">
        <v>16</v>
      </c>
      <c r="Q134" s="277"/>
    </row>
    <row r="135" spans="4:17">
      <c r="D135" s="277" t="s">
        <v>21</v>
      </c>
      <c r="E135" s="277" t="s">
        <v>29</v>
      </c>
      <c r="G135" s="286">
        <f>'Industry Model Outputs'!$G$30</f>
        <v>38846437.94474794</v>
      </c>
      <c r="H135" s="286"/>
      <c r="I135" s="286"/>
      <c r="Q135" s="277"/>
    </row>
    <row r="136" spans="4:17">
      <c r="D136" s="277" t="s">
        <v>22</v>
      </c>
      <c r="E136" s="277" t="s">
        <v>29</v>
      </c>
      <c r="G136" s="286"/>
      <c r="H136" s="286">
        <f ca="1">'Industry Model Outputs'!$G$46</f>
        <v>14229150.285190277</v>
      </c>
      <c r="I136" s="286">
        <f ca="1">H136</f>
        <v>14229150.285190277</v>
      </c>
      <c r="J136" s="286">
        <f ca="1">I136</f>
        <v>14229150.285190277</v>
      </c>
      <c r="K136" s="286">
        <f ca="1">J136</f>
        <v>14229150.285190277</v>
      </c>
      <c r="L136" s="286">
        <f ca="1">K136</f>
        <v>14229150.285190277</v>
      </c>
      <c r="M136" s="286">
        <f t="shared" ref="M136:Q136" ca="1" si="13">L136</f>
        <v>14229150.285190277</v>
      </c>
      <c r="N136" s="286">
        <f t="shared" ca="1" si="13"/>
        <v>14229150.285190277</v>
      </c>
      <c r="O136" s="286">
        <f t="shared" ca="1" si="13"/>
        <v>14229150.285190277</v>
      </c>
      <c r="P136" s="286">
        <f t="shared" ca="1" si="13"/>
        <v>14229150.285190277</v>
      </c>
      <c r="Q136" s="286">
        <f t="shared" ca="1" si="13"/>
        <v>14229150.285190277</v>
      </c>
    </row>
    <row r="137" spans="4:17">
      <c r="D137" s="277" t="s">
        <v>362</v>
      </c>
      <c r="E137" s="277" t="s">
        <v>29</v>
      </c>
      <c r="G137" s="286"/>
      <c r="H137" s="286">
        <f ca="1">H136*(1-$F$33)^'NPV Model'!H$29</f>
        <v>13731130.025208617</v>
      </c>
      <c r="I137" s="286">
        <f ca="1">I136*(1-$F$33)^'NPV Model'!I$29</f>
        <v>13250540.474326314</v>
      </c>
      <c r="J137" s="286">
        <f ca="1">J136*(1-$F$33)^'NPV Model'!J$29</f>
        <v>12786771.557724893</v>
      </c>
      <c r="K137" s="286">
        <f ca="1">K136*(1-$F$33)^'NPV Model'!K$29</f>
        <v>12339234.553204522</v>
      </c>
      <c r="L137" s="286">
        <f ca="1">L136*(1-$F$33)^'NPV Model'!L$29</f>
        <v>11907361.343842363</v>
      </c>
      <c r="M137" s="286">
        <f ca="1">M136*(1-$F$33)^'NPV Model'!M$29</f>
        <v>11490603.69680788</v>
      </c>
      <c r="N137" s="286">
        <f ca="1">N136*(1-$F$33)^'NPV Model'!N$29</f>
        <v>11088432.567419603</v>
      </c>
      <c r="O137" s="286">
        <f ca="1">O136*(1-$F$33)^'NPV Model'!O$29</f>
        <v>10700337.427559918</v>
      </c>
      <c r="P137" s="286">
        <f ca="1">P136*(1-$F$33)^'NPV Model'!P$29</f>
        <v>10325825.617595319</v>
      </c>
      <c r="Q137" s="286">
        <f ca="1">Q136*(1-$F$33)^'NPV Model'!Q$29</f>
        <v>9964421.7209794838</v>
      </c>
    </row>
    <row r="138" spans="4:17">
      <c r="D138" s="277" t="s">
        <v>36</v>
      </c>
      <c r="E138" s="277" t="s">
        <v>29</v>
      </c>
      <c r="G138" s="269">
        <f ca="1">SUM(G135,H137:Q137)</f>
        <v>156431096.92941684</v>
      </c>
      <c r="H138" s="286"/>
      <c r="I138" s="286"/>
      <c r="Q138" s="277"/>
    </row>
    <row r="139" spans="4:17">
      <c r="G139" s="286"/>
      <c r="H139" s="286"/>
      <c r="I139" s="286"/>
      <c r="Q139" s="277"/>
    </row>
    <row r="140" spans="4:17">
      <c r="D140" s="257" t="s">
        <v>17</v>
      </c>
      <c r="G140" s="286"/>
      <c r="H140" s="286"/>
      <c r="I140" s="286"/>
      <c r="Q140" s="277"/>
    </row>
    <row r="141" spans="4:17">
      <c r="D141" s="277" t="s">
        <v>21</v>
      </c>
      <c r="E141" s="277" t="s">
        <v>29</v>
      </c>
      <c r="G141" s="286">
        <f>'Industry Model Outputs'!$H$30</f>
        <v>27501472.402289465</v>
      </c>
      <c r="H141" s="286"/>
      <c r="I141" s="286"/>
      <c r="Q141" s="277"/>
    </row>
    <row r="142" spans="4:17">
      <c r="D142" s="277" t="s">
        <v>22</v>
      </c>
      <c r="E142" s="277" t="s">
        <v>29</v>
      </c>
      <c r="G142" s="286"/>
      <c r="H142" s="286">
        <f ca="1">'Industry Model Outputs'!$H$46</f>
        <v>4715835.9151163623</v>
      </c>
      <c r="I142" s="286">
        <f ca="1">'Industry Model Outputs'!$H$46</f>
        <v>4715835.9151163623</v>
      </c>
      <c r="J142" s="286">
        <f ca="1">'Industry Model Outputs'!$H$46</f>
        <v>4715835.9151163623</v>
      </c>
      <c r="K142" s="286">
        <f ca="1">'Industry Model Outputs'!$H$46</f>
        <v>4715835.9151163623</v>
      </c>
      <c r="L142" s="286">
        <f ca="1">'Industry Model Outputs'!$H$46</f>
        <v>4715835.9151163623</v>
      </c>
      <c r="M142" s="286">
        <f ca="1">'Industry Model Outputs'!$H$46</f>
        <v>4715835.9151163623</v>
      </c>
      <c r="N142" s="286">
        <f ca="1">'Industry Model Outputs'!$H$46</f>
        <v>4715835.9151163623</v>
      </c>
      <c r="O142" s="286">
        <f ca="1">'Industry Model Outputs'!$H$46</f>
        <v>4715835.9151163623</v>
      </c>
      <c r="P142" s="286">
        <f ca="1">'Industry Model Outputs'!$H$46</f>
        <v>4715835.9151163623</v>
      </c>
      <c r="Q142" s="286">
        <f ca="1">'Industry Model Outputs'!$H$46</f>
        <v>4715835.9151163623</v>
      </c>
    </row>
    <row r="143" spans="4:17">
      <c r="D143" s="277" t="s">
        <v>362</v>
      </c>
      <c r="E143" s="277" t="s">
        <v>29</v>
      </c>
      <c r="H143" s="286">
        <f ca="1">H142*(1-$F$33)^'NPV Model'!H$29</f>
        <v>4550781.6580872899</v>
      </c>
      <c r="I143" s="286">
        <f ca="1">I142*(1-$F$33)^'NPV Model'!I$29</f>
        <v>4391504.3000542345</v>
      </c>
      <c r="J143" s="286">
        <f ca="1">J142*(1-$F$33)^'NPV Model'!J$29</f>
        <v>4237801.649552336</v>
      </c>
      <c r="K143" s="286">
        <f ca="1">K142*(1-$F$33)^'NPV Model'!K$29</f>
        <v>4089478.5918180039</v>
      </c>
      <c r="L143" s="286">
        <f ca="1">L142*(1-$F$33)^'NPV Model'!L$29</f>
        <v>3946346.8411043738</v>
      </c>
      <c r="M143" s="286">
        <f ca="1">M142*(1-$F$33)^'NPV Model'!M$29</f>
        <v>3808224.7016657204</v>
      </c>
      <c r="N143" s="286">
        <f ca="1">N142*(1-$F$33)^'NPV Model'!N$29</f>
        <v>3674936.83710742</v>
      </c>
      <c r="O143" s="286">
        <f ca="1">O142*(1-$F$33)^'NPV Model'!O$29</f>
        <v>3546314.0478086602</v>
      </c>
      <c r="P143" s="286">
        <f ca="1">P142*(1-$F$33)^'NPV Model'!P$29</f>
        <v>3422193.0561353569</v>
      </c>
      <c r="Q143" s="286">
        <f ca="1">Q142*(1-$F$33)^'NPV Model'!Q$29</f>
        <v>3302416.2991706193</v>
      </c>
    </row>
    <row r="144" spans="4:17">
      <c r="D144" s="277" t="s">
        <v>36</v>
      </c>
      <c r="E144" s="277" t="s">
        <v>29</v>
      </c>
      <c r="G144" s="269">
        <f ca="1">SUM(G141,H143:Q143)</f>
        <v>66471470.38479349</v>
      </c>
    </row>
  </sheetData>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Sheet17"/>
  <dimension ref="A2:S126"/>
  <sheetViews>
    <sheetView showGridLines="0" topLeftCell="N89" zoomScale="70" zoomScaleNormal="70" workbookViewId="0">
      <selection activeCell="D9" sqref="D9"/>
    </sheetView>
  </sheetViews>
  <sheetFormatPr defaultColWidth="9.140625" defaultRowHeight="12.75"/>
  <cols>
    <col min="1" max="1" width="1.5703125" style="16" customWidth="1"/>
    <col min="2" max="2" width="9.140625" style="16"/>
    <col min="3" max="3" width="35.85546875" style="16" customWidth="1"/>
    <col min="4" max="4" width="37.28515625" style="16" customWidth="1"/>
    <col min="5" max="5" width="4.7109375" style="16" customWidth="1"/>
    <col min="6" max="6" width="4.5703125" style="16" customWidth="1"/>
    <col min="7" max="7" width="19.85546875" style="16" customWidth="1"/>
    <col min="8" max="10" width="20" style="16" customWidth="1"/>
    <col min="11" max="11" width="18.5703125" style="16" customWidth="1"/>
    <col min="12" max="12" width="19" style="16" customWidth="1"/>
    <col min="13" max="16" width="20" style="16" customWidth="1"/>
    <col min="17" max="17" width="18.7109375" style="16" customWidth="1"/>
    <col min="18" max="18" width="9.140625" style="16"/>
    <col min="19" max="19" width="50.7109375" style="18" customWidth="1"/>
    <col min="20" max="16384" width="9.140625" style="16"/>
  </cols>
  <sheetData>
    <row r="2" spans="2:19" ht="15">
      <c r="B2" s="16" t="s">
        <v>0</v>
      </c>
      <c r="D2" s="17" t="str">
        <f ca="1">MID(CELL("filename",A1),FIND("]",CELL("filename",A1))+1,256)</f>
        <v>Independent Per CP Summary</v>
      </c>
      <c r="S2" s="16"/>
    </row>
    <row r="3" spans="2:19">
      <c r="B3" s="16" t="s">
        <v>1</v>
      </c>
      <c r="D3" s="16" t="s">
        <v>223</v>
      </c>
      <c r="S3" s="16"/>
    </row>
    <row r="5" spans="2:19" s="19" customFormat="1">
      <c r="S5" s="21" t="s">
        <v>161</v>
      </c>
    </row>
    <row r="6" spans="2:19" s="149" customFormat="1">
      <c r="G6" s="150"/>
      <c r="H6" s="150"/>
      <c r="I6" s="150"/>
      <c r="J6" s="150"/>
      <c r="K6" s="150"/>
      <c r="L6" s="150"/>
      <c r="M6" s="150"/>
      <c r="N6" s="150"/>
      <c r="O6" s="150"/>
      <c r="P6" s="150"/>
      <c r="S6" s="151"/>
    </row>
    <row r="7" spans="2:19" s="149" customFormat="1">
      <c r="G7" s="150"/>
      <c r="H7" s="150"/>
      <c r="I7" s="150"/>
      <c r="J7" s="150"/>
      <c r="K7" s="150"/>
      <c r="L7" s="150"/>
      <c r="M7" s="150"/>
      <c r="N7" s="150"/>
      <c r="O7" s="150"/>
      <c r="P7" s="150"/>
      <c r="S7" s="151"/>
    </row>
    <row r="8" spans="2:19" s="149" customFormat="1" ht="13.5" thickBot="1">
      <c r="D8" s="149" t="s">
        <v>237</v>
      </c>
      <c r="G8" s="150"/>
      <c r="H8" s="150"/>
      <c r="I8" s="150"/>
      <c r="J8" s="150"/>
      <c r="K8" s="150"/>
      <c r="L8" s="150"/>
      <c r="M8" s="150"/>
      <c r="N8" s="150"/>
      <c r="O8" s="150"/>
      <c r="P8" s="150"/>
      <c r="S8" s="23"/>
    </row>
    <row r="9" spans="2:19" s="149" customFormat="1" ht="13.5" thickBot="1">
      <c r="D9" s="185" t="s">
        <v>230</v>
      </c>
      <c r="E9" s="24">
        <f>IF('Independent Per CP Summary'!D37="Tier C",4,IF('Independent Per CP Summary'!D37="Tier B",3,2))</f>
        <v>4</v>
      </c>
      <c r="G9" s="150"/>
      <c r="H9" s="150"/>
      <c r="I9" s="150"/>
      <c r="J9" s="150"/>
      <c r="K9" s="150"/>
      <c r="L9" s="150"/>
      <c r="M9" s="150"/>
      <c r="N9" s="150"/>
      <c r="O9" s="150"/>
      <c r="P9" s="150"/>
      <c r="S9" s="151"/>
    </row>
    <row r="10" spans="2:19" s="149" customFormat="1">
      <c r="G10" s="150"/>
      <c r="H10" s="150"/>
      <c r="I10" s="150"/>
      <c r="J10" s="150"/>
      <c r="K10" s="150"/>
      <c r="L10" s="150"/>
      <c r="M10" s="150"/>
      <c r="N10" s="150"/>
      <c r="O10" s="150"/>
      <c r="P10" s="150"/>
      <c r="S10" s="151"/>
    </row>
    <row r="11" spans="2:19" s="149" customFormat="1">
      <c r="C11" s="149" t="s">
        <v>234</v>
      </c>
      <c r="G11" s="150"/>
      <c r="H11" s="150"/>
      <c r="I11" s="150"/>
      <c r="J11" s="150"/>
      <c r="K11" s="150"/>
      <c r="L11" s="150"/>
      <c r="M11" s="150"/>
      <c r="N11" s="150"/>
      <c r="O11" s="150"/>
      <c r="P11" s="150"/>
      <c r="S11" s="151"/>
    </row>
    <row r="12" spans="2:19" s="149" customFormat="1">
      <c r="C12" s="38" t="s">
        <v>235</v>
      </c>
      <c r="G12" s="150"/>
      <c r="H12" s="150"/>
      <c r="I12" s="150"/>
      <c r="J12" s="150"/>
      <c r="K12" s="150"/>
      <c r="L12" s="150"/>
      <c r="M12" s="150"/>
      <c r="N12" s="150"/>
      <c r="O12" s="150"/>
      <c r="P12" s="150"/>
      <c r="S12" s="151"/>
    </row>
    <row r="13" spans="2:19" s="149" customFormat="1">
      <c r="C13" s="38" t="s">
        <v>236</v>
      </c>
      <c r="G13" s="150"/>
      <c r="H13" s="150"/>
      <c r="I13" s="150"/>
      <c r="J13" s="150"/>
      <c r="K13" s="150"/>
      <c r="L13" s="150"/>
      <c r="M13" s="150"/>
      <c r="N13" s="150"/>
      <c r="O13" s="150"/>
      <c r="P13" s="150"/>
      <c r="S13" s="151"/>
    </row>
    <row r="14" spans="2:19" s="149" customFormat="1">
      <c r="C14" s="38" t="s">
        <v>448</v>
      </c>
      <c r="D14" s="186"/>
      <c r="G14" s="150"/>
      <c r="H14" s="150"/>
      <c r="I14" s="150"/>
      <c r="J14" s="150"/>
      <c r="K14" s="150"/>
      <c r="L14" s="150"/>
      <c r="M14" s="150"/>
      <c r="N14" s="150"/>
      <c r="O14" s="150"/>
      <c r="P14" s="150"/>
      <c r="S14" s="151"/>
    </row>
    <row r="15" spans="2:19" s="149" customFormat="1">
      <c r="C15" s="38"/>
      <c r="G15" s="150"/>
      <c r="H15" s="150"/>
      <c r="I15" s="150"/>
      <c r="J15" s="150"/>
      <c r="K15" s="150"/>
      <c r="L15" s="150"/>
      <c r="M15" s="150"/>
      <c r="N15" s="150"/>
      <c r="O15" s="150"/>
      <c r="P15" s="150"/>
      <c r="S15" s="151"/>
    </row>
    <row r="16" spans="2:19" s="149" customFormat="1">
      <c r="G16" s="150"/>
      <c r="H16" s="150"/>
      <c r="I16" s="150"/>
      <c r="J16" s="150"/>
      <c r="K16" s="150"/>
      <c r="L16" s="150"/>
      <c r="M16" s="150"/>
      <c r="N16" s="150"/>
      <c r="O16" s="150"/>
      <c r="P16" s="150"/>
      <c r="S16" s="151"/>
    </row>
    <row r="17" spans="3:19" s="149" customFormat="1">
      <c r="G17" s="150"/>
      <c r="H17" s="150"/>
      <c r="I17" s="150"/>
      <c r="J17" s="150"/>
      <c r="K17" s="150"/>
      <c r="L17" s="150"/>
      <c r="M17" s="150"/>
      <c r="N17" s="150"/>
      <c r="O17" s="150"/>
      <c r="P17" s="150"/>
      <c r="S17" s="151"/>
    </row>
    <row r="18" spans="3:19" s="149" customFormat="1">
      <c r="G18" s="150"/>
      <c r="H18" s="150"/>
      <c r="I18" s="150"/>
      <c r="J18" s="150"/>
      <c r="K18" s="150"/>
      <c r="L18" s="150"/>
      <c r="M18" s="150"/>
      <c r="N18" s="150"/>
      <c r="O18" s="150"/>
      <c r="P18" s="150"/>
      <c r="S18" s="151"/>
    </row>
    <row r="19" spans="3:19" s="149" customFormat="1" ht="13.5" thickBot="1">
      <c r="D19" s="149" t="s">
        <v>246</v>
      </c>
      <c r="G19" s="150"/>
      <c r="H19" s="150"/>
      <c r="I19" s="150"/>
      <c r="J19" s="150"/>
      <c r="K19" s="150"/>
      <c r="L19" s="150"/>
      <c r="M19" s="150"/>
      <c r="N19" s="150"/>
      <c r="O19" s="150"/>
      <c r="P19" s="150"/>
      <c r="S19" s="151"/>
    </row>
    <row r="20" spans="3:19" s="149" customFormat="1" ht="13.5" thickBot="1">
      <c r="D20" s="185" t="s">
        <v>131</v>
      </c>
      <c r="G20" s="150"/>
      <c r="H20" s="150"/>
      <c r="I20" s="150"/>
      <c r="J20" s="150"/>
      <c r="K20" s="150"/>
      <c r="L20" s="150"/>
      <c r="M20" s="150"/>
      <c r="N20" s="150"/>
      <c r="O20" s="150"/>
      <c r="P20" s="150"/>
      <c r="S20" s="151"/>
    </row>
    <row r="21" spans="3:19" s="149" customFormat="1">
      <c r="G21" s="150"/>
      <c r="H21" s="150"/>
      <c r="I21" s="150"/>
      <c r="J21" s="150"/>
      <c r="K21" s="150"/>
      <c r="L21" s="150"/>
      <c r="M21" s="150"/>
      <c r="N21" s="150"/>
      <c r="O21" s="150"/>
      <c r="P21" s="150"/>
      <c r="S21" s="151"/>
    </row>
    <row r="22" spans="3:19" s="149" customFormat="1">
      <c r="C22" s="149" t="s">
        <v>247</v>
      </c>
      <c r="G22" s="150"/>
      <c r="H22" s="150"/>
      <c r="I22" s="150"/>
      <c r="J22" s="150"/>
      <c r="K22" s="150"/>
      <c r="L22" s="150"/>
      <c r="M22" s="150"/>
      <c r="N22" s="150"/>
      <c r="O22" s="150"/>
      <c r="P22" s="150"/>
      <c r="S22" s="151"/>
    </row>
    <row r="23" spans="3:19" s="149" customFormat="1">
      <c r="C23" s="38" t="s">
        <v>451</v>
      </c>
      <c r="G23" s="150"/>
      <c r="H23" s="150"/>
      <c r="I23" s="150"/>
      <c r="J23" s="150"/>
      <c r="K23" s="150"/>
      <c r="L23" s="150"/>
      <c r="M23" s="150"/>
      <c r="N23" s="150"/>
      <c r="O23" s="150"/>
      <c r="P23" s="150"/>
      <c r="S23" s="151"/>
    </row>
    <row r="24" spans="3:19" s="149" customFormat="1">
      <c r="C24" s="38" t="s">
        <v>450</v>
      </c>
      <c r="G24" s="150"/>
      <c r="H24" s="150"/>
      <c r="I24" s="150"/>
      <c r="J24" s="150"/>
      <c r="K24" s="150"/>
      <c r="L24" s="150"/>
      <c r="M24" s="150"/>
      <c r="N24" s="150"/>
      <c r="O24" s="150"/>
      <c r="P24" s="150"/>
      <c r="S24" s="151"/>
    </row>
    <row r="25" spans="3:19" s="149" customFormat="1">
      <c r="C25" s="38" t="s">
        <v>449</v>
      </c>
      <c r="G25" s="150"/>
      <c r="H25" s="150"/>
      <c r="I25" s="150"/>
      <c r="J25" s="150"/>
      <c r="K25" s="150"/>
      <c r="L25" s="150"/>
      <c r="M25" s="150"/>
      <c r="N25" s="150"/>
      <c r="O25" s="150"/>
      <c r="P25" s="150"/>
      <c r="S25" s="151"/>
    </row>
    <row r="26" spans="3:19" s="149" customFormat="1">
      <c r="C26" s="38"/>
      <c r="G26" s="150"/>
      <c r="H26" s="150"/>
      <c r="I26" s="150"/>
      <c r="J26" s="150"/>
      <c r="K26" s="150"/>
      <c r="L26" s="150"/>
      <c r="M26" s="150"/>
      <c r="N26" s="150"/>
      <c r="O26" s="150"/>
      <c r="P26" s="150"/>
      <c r="S26" s="151"/>
    </row>
    <row r="27" spans="3:19" s="149" customFormat="1">
      <c r="G27" s="150"/>
      <c r="H27" s="150"/>
      <c r="I27" s="150"/>
      <c r="J27" s="150"/>
      <c r="K27" s="150"/>
      <c r="L27" s="150"/>
      <c r="M27" s="150"/>
      <c r="N27" s="150"/>
      <c r="O27" s="150"/>
      <c r="P27" s="150"/>
      <c r="S27" s="151"/>
    </row>
    <row r="28" spans="3:19" s="149" customFormat="1">
      <c r="G28" s="175" t="s">
        <v>24</v>
      </c>
      <c r="H28" s="175" t="s">
        <v>21</v>
      </c>
      <c r="I28" s="175" t="s">
        <v>22</v>
      </c>
      <c r="L28" s="150"/>
      <c r="M28" s="175" t="s">
        <v>25</v>
      </c>
      <c r="N28" s="175" t="s">
        <v>21</v>
      </c>
      <c r="O28" s="175" t="s">
        <v>22</v>
      </c>
      <c r="S28" s="151"/>
    </row>
    <row r="29" spans="3:19" s="149" customFormat="1">
      <c r="G29" s="140" t="s">
        <v>15</v>
      </c>
      <c r="H29" s="33">
        <f ca="1">'Independent Per CP Summary'!G40</f>
        <v>1670000</v>
      </c>
      <c r="I29" s="33">
        <f ca="1">'Independent Per CP Summary'!M40</f>
        <v>690000</v>
      </c>
      <c r="J29" s="33"/>
      <c r="L29" s="150"/>
      <c r="M29" s="140" t="s">
        <v>15</v>
      </c>
      <c r="N29" s="33">
        <f ca="1">'Independent Per CP Summary'!G42</f>
        <v>1940000</v>
      </c>
      <c r="O29" s="33">
        <f ca="1">'Independent Per CP Summary'!M42</f>
        <v>1060000</v>
      </c>
      <c r="P29" s="33"/>
      <c r="S29" s="151"/>
    </row>
    <row r="30" spans="3:19" s="149" customFormat="1">
      <c r="G30" s="140" t="s">
        <v>16</v>
      </c>
      <c r="H30" s="33">
        <f ca="1">'Independent Per CP Summary'!H40</f>
        <v>1420000</v>
      </c>
      <c r="I30" s="33">
        <f ca="1">'Independent Per CP Summary'!N40</f>
        <v>1830000</v>
      </c>
      <c r="J30" s="33"/>
      <c r="L30" s="150"/>
      <c r="M30" s="140" t="s">
        <v>16</v>
      </c>
      <c r="N30" s="33">
        <f ca="1">'Independent Per CP Summary'!H42</f>
        <v>1570000</v>
      </c>
      <c r="O30" s="33">
        <f ca="1">'Independent Per CP Summary'!N42</f>
        <v>890000</v>
      </c>
      <c r="P30" s="33"/>
      <c r="S30" s="151"/>
    </row>
    <row r="31" spans="3:19" s="149" customFormat="1">
      <c r="G31" s="140" t="s">
        <v>17</v>
      </c>
      <c r="H31" s="33">
        <f ca="1">'Independent Per CP Summary'!K40</f>
        <v>570000</v>
      </c>
      <c r="I31" s="33">
        <f ca="1">'Independent Per CP Summary'!Q40</f>
        <v>850000</v>
      </c>
      <c r="J31" s="33"/>
      <c r="L31" s="150"/>
      <c r="M31" s="140" t="s">
        <v>17</v>
      </c>
      <c r="N31" s="33">
        <f ca="1">'Independent Per CP Summary'!K42</f>
        <v>370000</v>
      </c>
      <c r="O31" s="33">
        <f ca="1">'Independent Per CP Summary'!Q42</f>
        <v>500000</v>
      </c>
      <c r="P31" s="33"/>
      <c r="S31" s="151"/>
    </row>
    <row r="32" spans="3:19" s="149" customFormat="1">
      <c r="G32" s="150"/>
      <c r="H32" s="150"/>
      <c r="I32" s="150"/>
      <c r="J32" s="150"/>
      <c r="K32" s="150"/>
      <c r="L32" s="150"/>
      <c r="M32" s="150"/>
      <c r="N32" s="150"/>
      <c r="O32" s="150"/>
      <c r="P32" s="150"/>
      <c r="S32" s="151"/>
    </row>
    <row r="33" spans="2:19" s="149" customFormat="1">
      <c r="G33" s="150"/>
      <c r="H33" s="150"/>
      <c r="I33" s="150"/>
      <c r="J33" s="150"/>
      <c r="K33" s="150"/>
      <c r="L33" s="150"/>
      <c r="M33" s="150"/>
      <c r="N33" s="150"/>
      <c r="O33" s="150"/>
      <c r="P33" s="150"/>
      <c r="S33" s="151"/>
    </row>
    <row r="34" spans="2:19">
      <c r="G34" s="16" t="s">
        <v>15</v>
      </c>
      <c r="H34" s="16" t="s">
        <v>649</v>
      </c>
      <c r="I34" s="16" t="s">
        <v>509</v>
      </c>
      <c r="J34" s="16" t="s">
        <v>650</v>
      </c>
      <c r="K34" s="16" t="s">
        <v>17</v>
      </c>
      <c r="M34" s="16" t="s">
        <v>15</v>
      </c>
      <c r="N34" s="16" t="s">
        <v>649</v>
      </c>
      <c r="O34" s="16" t="s">
        <v>509</v>
      </c>
      <c r="P34" s="16" t="s">
        <v>650</v>
      </c>
      <c r="Q34" s="16" t="s">
        <v>17</v>
      </c>
    </row>
    <row r="35" spans="2:19" s="19" customFormat="1">
      <c r="B35" s="19" t="s">
        <v>238</v>
      </c>
      <c r="D35" s="19" t="s">
        <v>19</v>
      </c>
      <c r="E35" s="19" t="s">
        <v>20</v>
      </c>
      <c r="G35" s="20" t="s">
        <v>21</v>
      </c>
      <c r="H35" s="20" t="s">
        <v>21</v>
      </c>
      <c r="I35" s="20" t="s">
        <v>21</v>
      </c>
      <c r="J35" s="20" t="s">
        <v>21</v>
      </c>
      <c r="K35" s="20" t="s">
        <v>21</v>
      </c>
      <c r="L35" s="20"/>
      <c r="M35" s="20" t="s">
        <v>22</v>
      </c>
      <c r="N35" s="20" t="s">
        <v>22</v>
      </c>
      <c r="O35" s="20" t="s">
        <v>22</v>
      </c>
      <c r="P35" s="20" t="s">
        <v>22</v>
      </c>
      <c r="Q35" s="19" t="s">
        <v>22</v>
      </c>
      <c r="S35" s="21" t="s">
        <v>161</v>
      </c>
    </row>
    <row r="36" spans="2:19">
      <c r="F36" s="22"/>
      <c r="G36" s="22"/>
      <c r="H36" s="22"/>
      <c r="I36" s="22"/>
      <c r="J36" s="22"/>
      <c r="K36" s="22"/>
      <c r="L36" s="22"/>
      <c r="M36" s="22"/>
      <c r="N36" s="22"/>
      <c r="O36" s="22"/>
      <c r="P36" s="22"/>
      <c r="Q36" s="22"/>
      <c r="R36" s="22"/>
      <c r="S36" s="23"/>
    </row>
    <row r="37" spans="2:19">
      <c r="C37" s="188"/>
      <c r="D37" s="174" t="str">
        <f>'Independent Per CP Summary'!D9</f>
        <v>Tier C</v>
      </c>
      <c r="F37" s="22"/>
      <c r="G37" s="22"/>
      <c r="H37" s="22"/>
      <c r="I37" s="22"/>
      <c r="J37" s="22"/>
      <c r="K37" s="22"/>
      <c r="L37" s="22"/>
      <c r="M37" s="22"/>
      <c r="N37" s="22"/>
      <c r="O37" s="22"/>
      <c r="P37" s="22"/>
      <c r="Q37" s="22"/>
      <c r="R37" s="22"/>
    </row>
    <row r="38" spans="2:19">
      <c r="C38" s="188"/>
      <c r="D38" s="174" t="str">
        <f>D20</f>
        <v>Mid</v>
      </c>
      <c r="F38" s="22"/>
      <c r="G38" s="22"/>
      <c r="H38" s="22"/>
      <c r="I38" s="22"/>
      <c r="J38" s="22"/>
      <c r="K38" s="22"/>
      <c r="L38" s="22"/>
      <c r="M38" s="22"/>
      <c r="N38" s="22"/>
      <c r="O38" s="22"/>
      <c r="P38" s="22"/>
      <c r="Q38" s="22"/>
      <c r="R38" s="22"/>
    </row>
    <row r="39" spans="2:19">
      <c r="D39" s="25"/>
      <c r="F39" s="22"/>
      <c r="G39" s="22"/>
      <c r="H39" s="22"/>
      <c r="I39" s="22"/>
      <c r="J39" s="22"/>
      <c r="K39" s="22"/>
      <c r="L39" s="22"/>
      <c r="M39" s="22"/>
      <c r="N39" s="22"/>
      <c r="O39" s="22"/>
      <c r="P39" s="22"/>
      <c r="Q39" s="22"/>
      <c r="R39" s="22"/>
      <c r="S39" s="23"/>
    </row>
    <row r="40" spans="2:19">
      <c r="D40" s="16" t="s">
        <v>24</v>
      </c>
      <c r="G40" s="152">
        <f ca="1">ROUND($G$69,-4)</f>
        <v>1670000</v>
      </c>
      <c r="H40" s="152">
        <f ca="1">ROUND(H69,-4)</f>
        <v>1420000</v>
      </c>
      <c r="I40" s="152">
        <f t="shared" ref="I40:J40" ca="1" si="0">ROUND(I69,-4)</f>
        <v>1420000</v>
      </c>
      <c r="J40" s="152">
        <f t="shared" ca="1" si="0"/>
        <v>1420000</v>
      </c>
      <c r="K40" s="152">
        <f ca="1">ROUND(K69,-4)</f>
        <v>570000</v>
      </c>
      <c r="L40" s="26"/>
      <c r="M40" s="152">
        <f ca="1">ROUND(M69,-4)</f>
        <v>690000</v>
      </c>
      <c r="N40" s="152">
        <f ca="1">ROUND(N69,-4)</f>
        <v>1830000</v>
      </c>
      <c r="O40" s="152">
        <f t="shared" ref="O40:P40" ca="1" si="1">ROUND(O69,-4)</f>
        <v>1170000</v>
      </c>
      <c r="P40" s="152">
        <f t="shared" ca="1" si="1"/>
        <v>-30000</v>
      </c>
      <c r="Q40" s="152">
        <f ca="1">ROUND(Q69,-4)</f>
        <v>850000</v>
      </c>
      <c r="R40" s="22"/>
      <c r="S40" s="23"/>
    </row>
    <row r="41" spans="2:19">
      <c r="G41" s="153"/>
      <c r="H41" s="153"/>
      <c r="I41" s="153"/>
      <c r="J41" s="153"/>
      <c r="K41" s="153"/>
      <c r="L41" s="154"/>
      <c r="M41" s="153"/>
      <c r="N41" s="153"/>
      <c r="O41" s="153"/>
      <c r="P41" s="153"/>
      <c r="Q41" s="153"/>
      <c r="R41" s="22"/>
      <c r="S41" s="23"/>
    </row>
    <row r="42" spans="2:19">
      <c r="D42" s="16" t="s">
        <v>25</v>
      </c>
      <c r="G42" s="152">
        <f ca="1">ROUND($G$90,-4)</f>
        <v>1940000</v>
      </c>
      <c r="H42" s="152">
        <f ca="1">ROUND(H90,-4)</f>
        <v>1570000</v>
      </c>
      <c r="I42" s="152">
        <f t="shared" ref="I42:J42" ca="1" si="2">ROUND(I90,-4)</f>
        <v>1570000</v>
      </c>
      <c r="J42" s="152">
        <f t="shared" ca="1" si="2"/>
        <v>1690000</v>
      </c>
      <c r="K42" s="152">
        <f ca="1">ROUND(K90,-4)</f>
        <v>370000</v>
      </c>
      <c r="L42" s="26"/>
      <c r="M42" s="152">
        <f ca="1">ROUND(M90,-4)</f>
        <v>1060000</v>
      </c>
      <c r="N42" s="152">
        <f ca="1">ROUND(N90,-4)</f>
        <v>890000</v>
      </c>
      <c r="O42" s="152">
        <f t="shared" ref="O42:P42" ca="1" si="3">ROUND(O90,-4)</f>
        <v>890000</v>
      </c>
      <c r="P42" s="152">
        <f t="shared" ca="1" si="3"/>
        <v>1010000</v>
      </c>
      <c r="Q42" s="152">
        <f ca="1">ROUND(Q90,-4)</f>
        <v>500000</v>
      </c>
      <c r="R42" s="22"/>
      <c r="S42" s="23"/>
    </row>
    <row r="43" spans="2:19" s="38" customFormat="1">
      <c r="G43" s="153"/>
      <c r="H43" s="153"/>
      <c r="I43" s="153"/>
      <c r="J43" s="153"/>
      <c r="K43" s="153"/>
      <c r="L43" s="154"/>
      <c r="M43" s="153"/>
      <c r="N43" s="153"/>
      <c r="O43" s="153"/>
      <c r="P43" s="153"/>
      <c r="Q43" s="153"/>
      <c r="R43" s="193"/>
      <c r="S43" s="194"/>
    </row>
    <row r="44" spans="2:19" s="19" customFormat="1">
      <c r="B44" s="19" t="s">
        <v>26</v>
      </c>
      <c r="D44" s="19" t="s">
        <v>19</v>
      </c>
      <c r="E44" s="19" t="s">
        <v>20</v>
      </c>
      <c r="G44" s="20" t="s">
        <v>21</v>
      </c>
      <c r="H44" s="20" t="s">
        <v>21</v>
      </c>
      <c r="I44" s="20" t="s">
        <v>21</v>
      </c>
      <c r="J44" s="20" t="s">
        <v>21</v>
      </c>
      <c r="K44" s="20" t="s">
        <v>21</v>
      </c>
      <c r="L44" s="20"/>
      <c r="M44" s="20" t="s">
        <v>22</v>
      </c>
      <c r="N44" s="20" t="s">
        <v>22</v>
      </c>
      <c r="O44" s="20" t="s">
        <v>22</v>
      </c>
      <c r="P44" s="20" t="s">
        <v>22</v>
      </c>
      <c r="Q44" s="19" t="s">
        <v>22</v>
      </c>
      <c r="S44" s="21" t="s">
        <v>161</v>
      </c>
    </row>
    <row r="45" spans="2:19">
      <c r="K45" s="22"/>
      <c r="L45" s="22"/>
      <c r="M45" s="22"/>
      <c r="N45" s="22"/>
      <c r="O45" s="22"/>
      <c r="P45" s="22"/>
      <c r="Q45" s="22"/>
      <c r="R45" s="22"/>
      <c r="S45" s="23"/>
    </row>
    <row r="46" spans="2:19" ht="13.5" customHeight="1">
      <c r="B46" s="27"/>
      <c r="C46" s="28"/>
      <c r="D46" s="29"/>
      <c r="E46" s="29"/>
      <c r="F46" s="29"/>
      <c r="G46" s="29" t="s">
        <v>15</v>
      </c>
      <c r="H46" s="29" t="s">
        <v>649</v>
      </c>
      <c r="I46" s="29" t="s">
        <v>509</v>
      </c>
      <c r="J46" s="29" t="s">
        <v>650</v>
      </c>
      <c r="K46" s="29" t="s">
        <v>17</v>
      </c>
      <c r="L46" s="29"/>
      <c r="M46" s="29" t="s">
        <v>15</v>
      </c>
      <c r="N46" s="29" t="s">
        <v>649</v>
      </c>
      <c r="O46" s="29" t="s">
        <v>509</v>
      </c>
      <c r="P46" s="29" t="s">
        <v>650</v>
      </c>
      <c r="Q46" s="29" t="s">
        <v>17</v>
      </c>
    </row>
    <row r="47" spans="2:19" ht="13.5" customHeight="1">
      <c r="B47" s="30"/>
      <c r="C47" s="31" t="s">
        <v>27</v>
      </c>
      <c r="D47" s="16" t="s">
        <v>36</v>
      </c>
      <c r="G47" s="26">
        <f ca="1">SUM(G48:G56)</f>
        <v>1130000</v>
      </c>
      <c r="H47" s="26">
        <f ca="1">SUM(H48:H56)</f>
        <v>880000</v>
      </c>
      <c r="I47" s="26">
        <f ca="1">SUM(I48:I56)</f>
        <v>880000</v>
      </c>
      <c r="J47" s="26">
        <f ca="1">SUM(J48:J56)</f>
        <v>880000</v>
      </c>
      <c r="K47" s="26">
        <f ca="1">SUM(K48:K56)</f>
        <v>475000</v>
      </c>
      <c r="M47" s="26">
        <f ca="1">SUM(M48:M56)</f>
        <v>186000</v>
      </c>
      <c r="N47" s="26">
        <f ca="1">SUM(N48:N56)</f>
        <v>176000</v>
      </c>
      <c r="O47" s="26">
        <f ca="1">SUM(O48:O56)</f>
        <v>176000</v>
      </c>
      <c r="P47" s="26">
        <f ca="1">SUM(P48:P56)</f>
        <v>176000</v>
      </c>
      <c r="Q47" s="26">
        <f ca="1">SUM(Q48:Q56)</f>
        <v>95000</v>
      </c>
    </row>
    <row r="48" spans="2:19">
      <c r="B48" s="30"/>
      <c r="C48" s="187"/>
      <c r="D48" s="32" t="s">
        <v>28</v>
      </c>
      <c r="E48" s="16" t="s">
        <v>29</v>
      </c>
      <c r="G48" s="33">
        <f ca="1">IFERROR(VLOOKUP($D48&amp;G$35, 'USN - Systems Workings'!$F$1:$I$94,$E$9,FALSE),0)</f>
        <v>300000</v>
      </c>
      <c r="H48" s="33">
        <f ca="1">IFERROR(VLOOKUP($D48&amp;H$35, 'TPV - Systems Workings'!$F$1:$I$94,$E$9,FALSE),0)</f>
        <v>250000</v>
      </c>
      <c r="I48" s="33">
        <f ca="1">IFERROR(VLOOKUP($D48&amp;I$35, 'TPV2 - Systems Workings'!$F$1:$I$94,$E$9,FALSE),0)</f>
        <v>250000</v>
      </c>
      <c r="J48" s="33">
        <f ca="1">IFERROR(VLOOKUP($D48&amp;J$35, 'TPV3 - Systems Workings'!$F$1:$I$94,$E$9,FALSE),0)</f>
        <v>250000</v>
      </c>
      <c r="K48" s="33">
        <f>IFERROR(VLOOKUP($D48&amp;K$35, 'LPL - Systems Workings'!$F$1:$I$94,$E$9,FALSE),0)</f>
        <v>0</v>
      </c>
      <c r="L48" s="33"/>
      <c r="M48" s="33">
        <f ca="1">IFERROR(VLOOKUP($D48&amp;M$35, 'USN - Systems Workings'!$F$1:$I$94,$E$9,FALSE),0)</f>
        <v>60000</v>
      </c>
      <c r="N48" s="33">
        <f ca="1">IFERROR(VLOOKUP($D48&amp;N$35, 'TPV - Systems Workings'!$F$1:$I$94,$E$9,FALSE),0)</f>
        <v>50000</v>
      </c>
      <c r="O48" s="33">
        <f ca="1">IFERROR(VLOOKUP($D48&amp;O$35, 'TPV2 - Systems Workings'!$F$1:$I$94,$E$9,FALSE),0)</f>
        <v>50000</v>
      </c>
      <c r="P48" s="33">
        <f ca="1">IFERROR(VLOOKUP($D48&amp;P$35, 'TPV3 - Systems Workings'!$F$1:$I$94,$E$9,FALSE),0)</f>
        <v>50000</v>
      </c>
      <c r="Q48" s="33">
        <f>IFERROR(VLOOKUP($D48&amp;Q$35, 'LPL - Systems Workings'!$F$1:$I$94,$E$9,FALSE),0)</f>
        <v>0</v>
      </c>
    </row>
    <row r="49" spans="1:19">
      <c r="B49" s="30"/>
      <c r="C49" s="187"/>
      <c r="D49" s="277" t="s">
        <v>268</v>
      </c>
      <c r="E49" s="16" t="s">
        <v>29</v>
      </c>
      <c r="F49" s="35"/>
      <c r="G49" s="33">
        <f ca="1">IFERROR(VLOOKUP($D49&amp;G$35, 'USN - Systems Workings'!$F$1:$I$94,$E$9,FALSE),0)</f>
        <v>60000</v>
      </c>
      <c r="H49" s="33">
        <f ca="1">IFERROR(VLOOKUP($D49&amp;H$35, 'TPV - Systems Workings'!$F$1:$I$94,$E$9,FALSE),0)</f>
        <v>60000</v>
      </c>
      <c r="I49" s="33">
        <f ca="1">IFERROR(VLOOKUP($D49&amp;I$35, 'TPV2 - Systems Workings'!$F$1:$I$94,$E$9,FALSE),0)</f>
        <v>60000</v>
      </c>
      <c r="J49" s="33">
        <f ca="1">IFERROR(VLOOKUP($D49&amp;J$35, 'TPV3 - Systems Workings'!$F$1:$I$94,$E$9,FALSE),0)</f>
        <v>60000</v>
      </c>
      <c r="K49" s="33">
        <f ca="1">IFERROR(VLOOKUP($D49&amp;K$35, 'LPL - Systems Workings'!$F$1:$I$94,$E$9,FALSE),0)</f>
        <v>60000</v>
      </c>
      <c r="L49" s="33"/>
      <c r="M49" s="33">
        <f ca="1">IFERROR(VLOOKUP($D49&amp;M$35, 'USN - Systems Workings'!$F$1:$I$94,$E$9,FALSE),0)</f>
        <v>12000</v>
      </c>
      <c r="N49" s="33">
        <f ca="1">IFERROR(VLOOKUP($D49&amp;N$35, 'TPV - Systems Workings'!$F$1:$I$94,$E$9,FALSE),0)</f>
        <v>12000</v>
      </c>
      <c r="O49" s="33">
        <f ca="1">IFERROR(VLOOKUP($D49&amp;O$35, 'TPV2 - Systems Workings'!$F$1:$I$94,$E$9,FALSE),0)</f>
        <v>12000</v>
      </c>
      <c r="P49" s="33">
        <f ca="1">IFERROR(VLOOKUP($D49&amp;P$35, 'TPV3 - Systems Workings'!$F$1:$I$94,$E$9,FALSE),0)</f>
        <v>12000</v>
      </c>
      <c r="Q49" s="33">
        <f ca="1">IFERROR(VLOOKUP($D49&amp;Q$35, 'LPL - Systems Workings'!$F$1:$I$94,$E$9,FALSE),0)</f>
        <v>12000</v>
      </c>
    </row>
    <row r="50" spans="1:19">
      <c r="B50" s="30"/>
      <c r="C50" s="187"/>
      <c r="D50" s="277" t="s">
        <v>266</v>
      </c>
      <c r="E50" s="16" t="s">
        <v>29</v>
      </c>
      <c r="F50" s="35"/>
      <c r="G50" s="33">
        <f ca="1">IFERROR(VLOOKUP($D50&amp;G$35, 'USN - Systems Workings'!$F$1:$I$94,$E$9,FALSE),0)</f>
        <v>0</v>
      </c>
      <c r="H50" s="33">
        <f ca="1">IFERROR(VLOOKUP($D50&amp;H$35, 'TPV - Systems Workings'!$F$1:$I$94,$E$9,FALSE),0)</f>
        <v>0</v>
      </c>
      <c r="I50" s="33">
        <f ca="1">IFERROR(VLOOKUP($D50&amp;I$35, 'TPV2 - Systems Workings'!$F$1:$I$94,$E$9,FALSE),0)</f>
        <v>0</v>
      </c>
      <c r="J50" s="33">
        <f ca="1">IFERROR(VLOOKUP($D50&amp;J$35, 'TPV3 - Systems Workings'!$F$1:$I$94,$E$9,FALSE),0)</f>
        <v>0</v>
      </c>
      <c r="K50" s="33">
        <f ca="1">IFERROR(VLOOKUP($D50&amp;K$35, 'LPL - Systems Workings'!$F$1:$I$94,$E$9,FALSE),0)</f>
        <v>0</v>
      </c>
      <c r="L50" s="33"/>
      <c r="M50" s="33">
        <f ca="1">IFERROR(VLOOKUP($D50&amp;M$35, 'USN - Systems Workings'!$F$1:$I$94,$E$9,FALSE),0)</f>
        <v>0</v>
      </c>
      <c r="N50" s="33">
        <f ca="1">IFERROR(VLOOKUP($D50&amp;N$35, 'TPV - Systems Workings'!$F$1:$I$94,$E$9,FALSE),0)</f>
        <v>0</v>
      </c>
      <c r="O50" s="33">
        <f ca="1">IFERROR(VLOOKUP($D50&amp;O$35, 'TPV2 - Systems Workings'!$F$1:$I$94,$E$9,FALSE),0)</f>
        <v>0</v>
      </c>
      <c r="P50" s="33">
        <f ca="1">IFERROR(VLOOKUP($D50&amp;P$35, 'TPV3 - Systems Workings'!$F$1:$I$94,$E$9,FALSE),0)</f>
        <v>0</v>
      </c>
      <c r="Q50" s="33">
        <f ca="1">IFERROR(VLOOKUP($D50&amp;Q$35, 'LPL - Systems Workings'!$F$1:$I$94,$E$9,FALSE),0)</f>
        <v>0</v>
      </c>
    </row>
    <row r="51" spans="1:19">
      <c r="B51" s="30"/>
      <c r="C51" s="30"/>
      <c r="D51" s="32" t="s">
        <v>30</v>
      </c>
      <c r="E51" s="16" t="s">
        <v>29</v>
      </c>
      <c r="F51" s="36"/>
      <c r="G51" s="33">
        <f>IFERROR(VLOOKUP($D51&amp;G$35, 'USN - Systems Workings'!$F$1:$I$94,$E$9,FALSE),0)</f>
        <v>200000</v>
      </c>
      <c r="H51" s="33">
        <f>IFERROR(VLOOKUP($D51&amp;H$35, 'TPV - Systems Workings'!$F$1:$I$94,$E$9,FALSE),0)</f>
        <v>0</v>
      </c>
      <c r="I51" s="33">
        <f>IFERROR(VLOOKUP($D51&amp;I$35, 'TPV2 - Systems Workings'!$F$1:$I$94,$E$9,FALSE),0)</f>
        <v>0</v>
      </c>
      <c r="J51" s="33">
        <f>IFERROR(VLOOKUP($D51&amp;J$35, 'TPV3 - Systems Workings'!$F$1:$I$94,$E$9,FALSE),0)</f>
        <v>0</v>
      </c>
      <c r="K51" s="33">
        <f>IFERROR(VLOOKUP($D51&amp;K$35, 'LPL - Systems Workings'!$F$1:$I$94,$E$9,FALSE),0)</f>
        <v>0</v>
      </c>
      <c r="L51" s="33"/>
      <c r="M51" s="33">
        <f>IFERROR(VLOOKUP($D51&amp;M$35, 'USN - Systems Workings'!$F$1:$I$94,$E$9,FALSE),0)</f>
        <v>0</v>
      </c>
      <c r="N51" s="33">
        <f>IFERROR(VLOOKUP($D51&amp;N$35, 'TPV - Systems Workings'!$F$1:$I$94,$E$9,FALSE),0)</f>
        <v>0</v>
      </c>
      <c r="O51" s="33">
        <f>IFERROR(VLOOKUP($D51&amp;O$35, 'TPV2 - Systems Workings'!$F$1:$I$94,$E$9,FALSE),0)</f>
        <v>0</v>
      </c>
      <c r="P51" s="33">
        <f>IFERROR(VLOOKUP($D51&amp;P$35, 'TPV3 - Systems Workings'!$F$1:$I$94,$E$9,FALSE),0)</f>
        <v>0</v>
      </c>
      <c r="Q51" s="33">
        <f>IFERROR(VLOOKUP($D51&amp;Q$35, 'LPL - Systems Workings'!$F$1:$I$94,$E$9,FALSE),0)</f>
        <v>0</v>
      </c>
    </row>
    <row r="52" spans="1:19">
      <c r="B52" s="30"/>
      <c r="C52" s="30"/>
      <c r="D52" s="32" t="s">
        <v>31</v>
      </c>
      <c r="E52" s="16" t="s">
        <v>29</v>
      </c>
      <c r="F52" s="36"/>
      <c r="G52" s="33">
        <f ca="1">IFERROR(VLOOKUP($D52&amp;G$35, 'USN - Systems Workings'!$F$1:$I$94,$E$9,FALSE),0)</f>
        <v>200000</v>
      </c>
      <c r="H52" s="33">
        <f ca="1">IFERROR(VLOOKUP($D52&amp;H$35, 'TPV - Systems Workings'!$F$1:$I$94,$E$9,FALSE),0)</f>
        <v>200000</v>
      </c>
      <c r="I52" s="33">
        <f ca="1">IFERROR(VLOOKUP($D52&amp;I$35, 'TPV2 - Systems Workings'!$F$1:$I$94,$E$9,FALSE),0)</f>
        <v>200000</v>
      </c>
      <c r="J52" s="33">
        <f ca="1">IFERROR(VLOOKUP($D52&amp;J$35, 'TPV3 - Systems Workings'!$F$1:$I$94,$E$9,FALSE),0)</f>
        <v>200000</v>
      </c>
      <c r="K52" s="33">
        <f ca="1">IFERROR(VLOOKUP($D52&amp;K$35, 'LPL - Systems Workings'!$F$1:$I$94,$E$9,FALSE),0)</f>
        <v>145000</v>
      </c>
      <c r="L52" s="33"/>
      <c r="M52" s="33">
        <f ca="1">IFERROR(VLOOKUP($D52&amp;M$35, 'USN - Systems Workings'!$F$1:$I$94,$E$9,FALSE),0)</f>
        <v>40000</v>
      </c>
      <c r="N52" s="33">
        <f ca="1">IFERROR(VLOOKUP($D52&amp;N$35, 'TPV - Systems Workings'!$F$1:$I$94,$E$9,FALSE),0)</f>
        <v>40000</v>
      </c>
      <c r="O52" s="33">
        <f ca="1">IFERROR(VLOOKUP($D52&amp;O$35, 'TPV2 - Systems Workings'!$F$1:$I$94,$E$9,FALSE),0)</f>
        <v>40000</v>
      </c>
      <c r="P52" s="33">
        <f ca="1">IFERROR(VLOOKUP($D52&amp;P$35, 'TPV3 - Systems Workings'!$F$1:$I$94,$E$9,FALSE),0)</f>
        <v>40000</v>
      </c>
      <c r="Q52" s="33">
        <f ca="1">IFERROR(VLOOKUP($D52&amp;Q$35, 'LPL - Systems Workings'!$F$1:$I$94,$E$9,FALSE),0)</f>
        <v>29000</v>
      </c>
    </row>
    <row r="53" spans="1:19">
      <c r="B53" s="30"/>
      <c r="C53" s="30"/>
      <c r="D53" s="32" t="s">
        <v>32</v>
      </c>
      <c r="E53" s="16" t="s">
        <v>29</v>
      </c>
      <c r="F53" s="36"/>
      <c r="G53" s="33">
        <f ca="1">IFERROR(VLOOKUP($D53&amp;G$35, 'USN - Systems Workings'!$F$1:$I$94,$E$9,FALSE),0)</f>
        <v>190000</v>
      </c>
      <c r="H53" s="33">
        <f ca="1">IFERROR(VLOOKUP($D53&amp;H$35, 'TPV - Systems Workings'!$F$1:$I$94,$E$9,FALSE),0)</f>
        <v>190000</v>
      </c>
      <c r="I53" s="33">
        <f ca="1">IFERROR(VLOOKUP($D53&amp;I$35, 'TPV2 - Systems Workings'!$F$1:$I$94,$E$9,FALSE),0)</f>
        <v>190000</v>
      </c>
      <c r="J53" s="33">
        <f ca="1">IFERROR(VLOOKUP($D53&amp;J$35, 'TPV3 - Systems Workings'!$F$1:$I$94,$E$9,FALSE),0)</f>
        <v>190000</v>
      </c>
      <c r="K53" s="33">
        <f ca="1">IFERROR(VLOOKUP($D53&amp;K$35, 'LPL - Systems Workings'!$F$1:$I$94,$E$9,FALSE),0)</f>
        <v>100000</v>
      </c>
      <c r="L53" s="33"/>
      <c r="M53" s="33">
        <f ca="1">IFERROR(VLOOKUP($D53&amp;M$35, 'USN - Systems Workings'!$F$1:$I$94,$E$9,FALSE),0)</f>
        <v>38000</v>
      </c>
      <c r="N53" s="33">
        <f ca="1">IFERROR(VLOOKUP($D53&amp;N$35, 'TPV - Systems Workings'!$F$1:$I$94,$E$9,FALSE),0)</f>
        <v>38000</v>
      </c>
      <c r="O53" s="33">
        <f ca="1">IFERROR(VLOOKUP($D53&amp;O$35, 'TPV2 - Systems Workings'!$F$1:$I$94,$E$9,FALSE),0)</f>
        <v>38000</v>
      </c>
      <c r="P53" s="33">
        <f ca="1">IFERROR(VLOOKUP($D53&amp;P$35, 'TPV3 - Systems Workings'!$F$1:$I$94,$E$9,FALSE),0)</f>
        <v>38000</v>
      </c>
      <c r="Q53" s="33">
        <f ca="1">IFERROR(VLOOKUP($D53&amp;Q$35, 'LPL - Systems Workings'!$F$1:$I$94,$E$9,FALSE),0)</f>
        <v>20000</v>
      </c>
    </row>
    <row r="54" spans="1:19">
      <c r="B54" s="30"/>
      <c r="C54" s="30"/>
      <c r="D54" s="32" t="s">
        <v>33</v>
      </c>
      <c r="E54" s="16" t="s">
        <v>29</v>
      </c>
      <c r="F54" s="36"/>
      <c r="G54" s="33">
        <f ca="1">IFERROR(VLOOKUP($D54&amp;G$35, 'USN - Systems Workings'!$F$1:$I$94,$E$9,FALSE),0)</f>
        <v>75000</v>
      </c>
      <c r="H54" s="33">
        <f ca="1">IFERROR(VLOOKUP($D54&amp;H$35, 'TPV - Systems Workings'!$F$1:$I$94,$E$9,FALSE),0)</f>
        <v>75000</v>
      </c>
      <c r="I54" s="33">
        <f ca="1">IFERROR(VLOOKUP($D54&amp;I$35, 'TPV2 - Systems Workings'!$F$1:$I$94,$E$9,FALSE),0)</f>
        <v>75000</v>
      </c>
      <c r="J54" s="33">
        <f ca="1">IFERROR(VLOOKUP($D54&amp;J$35, 'TPV3 - Systems Workings'!$F$1:$I$94,$E$9,FALSE),0)</f>
        <v>75000</v>
      </c>
      <c r="K54" s="33">
        <f ca="1">IFERROR(VLOOKUP($D54&amp;K$35, 'LPL - Systems Workings'!$F$1:$I$94,$E$9,FALSE),0)</f>
        <v>75000</v>
      </c>
      <c r="L54" s="33"/>
      <c r="M54" s="33">
        <f ca="1">IFERROR(VLOOKUP($D54&amp;M$35, 'USN - Systems Workings'!$F$1:$I$94,$E$9,FALSE),0)</f>
        <v>15000</v>
      </c>
      <c r="N54" s="33">
        <f ca="1">IFERROR(VLOOKUP($D54&amp;N$35, 'TPV - Systems Workings'!$F$1:$I$94,$E$9,FALSE),0)</f>
        <v>15000</v>
      </c>
      <c r="O54" s="33">
        <f ca="1">IFERROR(VLOOKUP($D54&amp;O$35, 'TPV2 - Systems Workings'!$F$1:$I$94,$E$9,FALSE),0)</f>
        <v>15000</v>
      </c>
      <c r="P54" s="33">
        <f ca="1">IFERROR(VLOOKUP($D54&amp;P$35, 'TPV3 - Systems Workings'!$F$1:$I$94,$E$9,FALSE),0)</f>
        <v>15000</v>
      </c>
      <c r="Q54" s="33">
        <f ca="1">IFERROR(VLOOKUP($D54&amp;Q$35, 'LPL - Systems Workings'!$F$1:$I$94,$E$9,FALSE),0)</f>
        <v>15000</v>
      </c>
    </row>
    <row r="55" spans="1:19">
      <c r="B55" s="30"/>
      <c r="C55" s="30"/>
      <c r="D55" s="32" t="s">
        <v>34</v>
      </c>
      <c r="E55" s="16" t="s">
        <v>29</v>
      </c>
      <c r="F55" s="36"/>
      <c r="G55" s="33">
        <f ca="1">IFERROR(VLOOKUP($D55&amp;G$35, 'USN - Systems Workings'!$F$1:$I$94,$E$9,FALSE),0)</f>
        <v>75000</v>
      </c>
      <c r="H55" s="33">
        <f ca="1">IFERROR(VLOOKUP($D55&amp;H$35, 'TPV - Systems Workings'!$F$1:$I$94,$E$9,FALSE),0)</f>
        <v>75000</v>
      </c>
      <c r="I55" s="33">
        <f ca="1">IFERROR(VLOOKUP($D55&amp;I$35, 'TPV2 - Systems Workings'!$F$1:$I$94,$E$9,FALSE),0)</f>
        <v>75000</v>
      </c>
      <c r="J55" s="33">
        <f ca="1">IFERROR(VLOOKUP($D55&amp;J$35, 'TPV3 - Systems Workings'!$F$1:$I$94,$E$9,FALSE),0)</f>
        <v>75000</v>
      </c>
      <c r="K55" s="33">
        <f ca="1">IFERROR(VLOOKUP($D55&amp;K$35, 'LPL - Systems Workings'!$F$1:$I$94,$E$9,FALSE),0)</f>
        <v>75000</v>
      </c>
      <c r="L55" s="33"/>
      <c r="M55" s="33">
        <f ca="1">IFERROR(VLOOKUP($D55&amp;M$35, 'USN - Systems Workings'!$F$1:$I$94,$E$9,FALSE),0)</f>
        <v>15000</v>
      </c>
      <c r="N55" s="33">
        <f ca="1">IFERROR(VLOOKUP($D55&amp;N$35, 'TPV - Systems Workings'!$F$1:$I$94,$E$9,FALSE),0)</f>
        <v>15000</v>
      </c>
      <c r="O55" s="33">
        <f ca="1">IFERROR(VLOOKUP($D55&amp;O$35, 'TPV2 - Systems Workings'!$F$1:$I$94,$E$9,FALSE),0)</f>
        <v>15000</v>
      </c>
      <c r="P55" s="33">
        <f ca="1">IFERROR(VLOOKUP($D55&amp;P$35, 'TPV3 - Systems Workings'!$F$1:$I$94,$E$9,FALSE),0)</f>
        <v>15000</v>
      </c>
      <c r="Q55" s="33">
        <f ca="1">IFERROR(VLOOKUP($D55&amp;Q$35, 'LPL - Systems Workings'!$F$1:$I$94,$E$9,FALSE),0)</f>
        <v>15000</v>
      </c>
      <c r="S55" s="37"/>
    </row>
    <row r="56" spans="1:19">
      <c r="B56" s="30"/>
      <c r="C56" s="30"/>
      <c r="D56" s="32" t="s">
        <v>35</v>
      </c>
      <c r="E56" s="16" t="s">
        <v>29</v>
      </c>
      <c r="F56" s="36"/>
      <c r="G56" s="33">
        <f ca="1">IFERROR(VLOOKUP($D56&amp;G$35, 'USN - Systems Workings'!$F$1:$I$94,$E$9,FALSE),0)</f>
        <v>30000</v>
      </c>
      <c r="H56" s="33">
        <f ca="1">IFERROR(VLOOKUP($D56&amp;H$35, 'TPV - Systems Workings'!$F$1:$I$94,$E$9,FALSE),0)</f>
        <v>30000</v>
      </c>
      <c r="I56" s="33">
        <f ca="1">IFERROR(VLOOKUP($D56&amp;I$35, 'TPV2 - Systems Workings'!$F$1:$I$94,$E$9,FALSE),0)</f>
        <v>30000</v>
      </c>
      <c r="J56" s="33">
        <f ca="1">IFERROR(VLOOKUP($D56&amp;J$35, 'TPV3 - Systems Workings'!$F$1:$I$94,$E$9,FALSE),0)</f>
        <v>30000</v>
      </c>
      <c r="K56" s="33">
        <f ca="1">IFERROR(VLOOKUP($D56&amp;K$35, 'LPL - Systems Workings'!$F$1:$I$94,$E$9,FALSE),0)</f>
        <v>20000</v>
      </c>
      <c r="L56" s="33"/>
      <c r="M56" s="33">
        <f ca="1">IFERROR(VLOOKUP($D56&amp;M$35, 'USN - Systems Workings'!$F$1:$I$94,$E$9,FALSE),0)</f>
        <v>6000</v>
      </c>
      <c r="N56" s="33">
        <f ca="1">IFERROR(VLOOKUP($D56&amp;N$35, 'TPV - Systems Workings'!$F$1:$I$94,$E$9,FALSE),0)</f>
        <v>6000</v>
      </c>
      <c r="O56" s="33">
        <f ca="1">IFERROR(VLOOKUP($D56&amp;O$35, 'TPV2 - Systems Workings'!$F$1:$I$94,$E$9,FALSE),0)</f>
        <v>6000</v>
      </c>
      <c r="P56" s="33">
        <f ca="1">IFERROR(VLOOKUP($D56&amp;P$35, 'TPV3 - Systems Workings'!$F$1:$I$94,$E$9,FALSE),0)</f>
        <v>6000</v>
      </c>
      <c r="Q56" s="33">
        <f ca="1">IFERROR(VLOOKUP($D56&amp;Q$35, 'LPL - Systems Workings'!$F$1:$I$94,$E$9,FALSE),0)</f>
        <v>4000</v>
      </c>
    </row>
    <row r="57" spans="1:19">
      <c r="B57" s="30"/>
      <c r="C57" s="30"/>
      <c r="D57" s="32" t="s">
        <v>227</v>
      </c>
      <c r="E57" s="16" t="s">
        <v>29</v>
      </c>
      <c r="F57" s="36"/>
      <c r="G57" s="33"/>
      <c r="H57" s="33"/>
      <c r="I57" s="33"/>
      <c r="J57" s="33"/>
      <c r="K57" s="33"/>
      <c r="L57" s="33"/>
      <c r="M57" s="33"/>
      <c r="N57" s="33"/>
      <c r="O57" s="33"/>
      <c r="P57" s="33"/>
      <c r="Q57" s="33"/>
    </row>
    <row r="58" spans="1:19">
      <c r="A58" s="41"/>
      <c r="B58" s="42"/>
      <c r="C58" s="30"/>
      <c r="M58" s="43"/>
      <c r="N58" s="43"/>
      <c r="O58" s="43"/>
      <c r="P58" s="43"/>
      <c r="Q58" s="43"/>
    </row>
    <row r="59" spans="1:19">
      <c r="B59" s="30"/>
      <c r="C59" s="31" t="s">
        <v>37</v>
      </c>
      <c r="D59" s="16" t="s">
        <v>36</v>
      </c>
      <c r="E59" s="16" t="s">
        <v>29</v>
      </c>
      <c r="F59" s="40"/>
      <c r="G59" s="44">
        <f ca="1">SUM(G60:G62)</f>
        <v>542500</v>
      </c>
      <c r="H59" s="44">
        <f ca="1">SUM(H60:H62)</f>
        <v>542500</v>
      </c>
      <c r="I59" s="44">
        <f ca="1">SUM(I60:I62)</f>
        <v>542500</v>
      </c>
      <c r="J59" s="44">
        <f ca="1">SUM(J60:J62)</f>
        <v>542500</v>
      </c>
      <c r="K59" s="44">
        <f ca="1">SUM(K60:K62)</f>
        <v>92500</v>
      </c>
      <c r="L59" s="40"/>
      <c r="M59" s="44">
        <f ca="1">SUM(M60:M62)</f>
        <v>508292.95906669361</v>
      </c>
      <c r="N59" s="44">
        <f ca="1">SUM(N60:N62)</f>
        <v>735519.0308000464</v>
      </c>
      <c r="O59" s="44">
        <f ca="1">SUM(O60:O62)</f>
        <v>82244.074566657029</v>
      </c>
      <c r="P59" s="44">
        <f ca="1">SUM(P60:P62)</f>
        <v>-208885.25613336492</v>
      </c>
      <c r="Q59" s="44">
        <f ca="1">SUM(Q60:Q62)</f>
        <v>759132.06666672276</v>
      </c>
    </row>
    <row r="60" spans="1:19">
      <c r="B60" s="30"/>
      <c r="C60" s="30"/>
      <c r="D60" s="16" t="str">
        <f>'USN - Process Workings'!C11</f>
        <v>CRM and Knowledge Management</v>
      </c>
      <c r="E60" s="16" t="s">
        <v>29</v>
      </c>
      <c r="G60" s="33">
        <f ca="1">IFERROR(VLOOKUP($D60&amp;G$35, 'USN - Process Workings'!$F$1:$I$95,$E$9,FALSE),0)</f>
        <v>182500</v>
      </c>
      <c r="H60" s="33">
        <f ca="1">IFERROR(VLOOKUP($D60&amp;H$35, 'TPV - Process Workings'!$F$1:$I$95,$E$9,FALSE),0)</f>
        <v>182500</v>
      </c>
      <c r="I60" s="33">
        <f ca="1">IFERROR(VLOOKUP($D60&amp;I$35, 'TPV - Process Workings'!$F$1:$I$95,$E$9,FALSE),0)</f>
        <v>182500</v>
      </c>
      <c r="J60" s="33">
        <f ca="1">IFERROR(VLOOKUP($D60&amp;J$35, 'TPV - Process Workings'!$F$1:$I$95,$E$9,FALSE),0)</f>
        <v>182500</v>
      </c>
      <c r="K60" s="33">
        <f>IFERROR(VLOOKUP($D60&amp;K$35, 'LPL - Process Workings'!$F$1:$I$96,$E$9,FALSE),0)</f>
        <v>0</v>
      </c>
      <c r="M60" s="33">
        <f ca="1">IFERROR(VLOOKUP($D60&amp;M$35, 'USN - Process Workings'!$F$1:$I$95,$E$9,FALSE),0)</f>
        <v>36500</v>
      </c>
      <c r="N60" s="33">
        <f ca="1">IFERROR(VLOOKUP($D60&amp;N$35, 'TPV - Process Workings'!$F$1:$I$95,$E$9,FALSE),0)</f>
        <v>36500</v>
      </c>
      <c r="O60" s="33">
        <f ca="1">IFERROR(VLOOKUP($D60&amp;O$35, 'TPV2 - Process Workings'!$F$1:$I$95,$E$9,FALSE),0)</f>
        <v>36500</v>
      </c>
      <c r="P60" s="33">
        <f ca="1">IFERROR(VLOOKUP($D60&amp;P$35, 'TPV3 - Process Workings'!$F$1:$I$95,$E$9,FALSE),0)</f>
        <v>36500</v>
      </c>
      <c r="Q60" s="33">
        <f>IFERROR(VLOOKUP($D60&amp;Q$35, 'LPL - Process Workings'!$F$1:$I$96,$E$9,FALSE),0)</f>
        <v>0</v>
      </c>
    </row>
    <row r="61" spans="1:19">
      <c r="B61" s="30"/>
      <c r="C61" s="31"/>
      <c r="D61" s="32" t="s">
        <v>38</v>
      </c>
      <c r="E61" s="16" t="s">
        <v>29</v>
      </c>
      <c r="F61" s="36"/>
      <c r="G61" s="33">
        <f ca="1">IFERROR(VLOOKUP($D61&amp;G$35, 'USN - Process Workings'!$F$1:$I$95,$E$9,FALSE),0)</f>
        <v>360000</v>
      </c>
      <c r="H61" s="33">
        <f ca="1">IFERROR(VLOOKUP($D61&amp;H$35, 'TPV - Process Workings'!$F$1:$I$95,$E$9,FALSE),0)</f>
        <v>360000</v>
      </c>
      <c r="I61" s="33">
        <f ca="1">IFERROR(VLOOKUP($D61&amp;I$35, 'TPV - Process Workings'!$F$1:$I$95,$E$9,FALSE),0)</f>
        <v>360000</v>
      </c>
      <c r="J61" s="33">
        <f ca="1">IFERROR(VLOOKUP($D61&amp;J$35, 'TPV - Process Workings'!$F$1:$I$95,$E$9,FALSE),0)</f>
        <v>360000</v>
      </c>
      <c r="K61" s="33">
        <f ca="1">IFERROR(VLOOKUP($D61&amp;K$35, 'LPL - Process Workings'!$F$1:$I$96,$E$9,FALSE),0)</f>
        <v>92500</v>
      </c>
      <c r="M61" s="33">
        <f ca="1">IFERROR(VLOOKUP($D61&amp;M$35, 'USN - Process Workings'!$F$1:$I$95,$E$9,FALSE),0)</f>
        <v>72000</v>
      </c>
      <c r="N61" s="33">
        <f ca="1">IFERROR(VLOOKUP($D61&amp;N$35, 'TPV - Process Workings'!$F$1:$I$95,$E$9,FALSE),0)</f>
        <v>72000</v>
      </c>
      <c r="O61" s="33">
        <f ca="1">IFERROR(VLOOKUP($D61&amp;O$35, 'TPV2 - Process Workings'!$F$1:$I$95,$E$9,FALSE),0)</f>
        <v>72000</v>
      </c>
      <c r="P61" s="33">
        <f ca="1">IFERROR(VLOOKUP($D61&amp;P$35, 'TPV3 - Process Workings'!$F$1:$I$95,$E$9,FALSE),0)</f>
        <v>36500</v>
      </c>
      <c r="Q61" s="33">
        <f ca="1">IFERROR(VLOOKUP($D61&amp;Q$35, 'LPL - Process Workings'!$F$1:$I$96,$E$9,FALSE),0)</f>
        <v>18500</v>
      </c>
    </row>
    <row r="62" spans="1:19">
      <c r="B62" s="30"/>
      <c r="C62" s="31"/>
      <c r="D62" s="32" t="s">
        <v>39</v>
      </c>
      <c r="E62" s="16" t="s">
        <v>29</v>
      </c>
      <c r="F62" s="36"/>
      <c r="G62" s="33">
        <f>IFERROR(VLOOKUP($D62&amp;G$35, 'USN - Process Workings'!$F$1:$I$95,$E$9,FALSE),0)</f>
        <v>0</v>
      </c>
      <c r="H62" s="33">
        <f>IFERROR(VLOOKUP($D62&amp;H$35, 'TPV - Process Workings'!$F$1:$I$95,$E$9,FALSE),0)</f>
        <v>0</v>
      </c>
      <c r="I62" s="33">
        <f>IFERROR(VLOOKUP($D62&amp;I$35, 'TPV - Process Workings'!$F$1:$I$95,$E$9,FALSE),0)</f>
        <v>0</v>
      </c>
      <c r="J62" s="33">
        <f>IFERROR(VLOOKUP($D62&amp;J$35, 'TPV - Process Workings'!$F$1:$I$95,$E$9,FALSE),0)</f>
        <v>0</v>
      </c>
      <c r="K62" s="33">
        <f>IFERROR(VLOOKUP($D62&amp;K$35, 'LPL - Process Workings'!$F$1:$I$96,$E$9,FALSE),0)</f>
        <v>0</v>
      </c>
      <c r="M62" s="33">
        <f ca="1">IFERROR(VLOOKUP($D62&amp;M$35, 'USN - Process Workings'!$F$1:$I$95,$E$9,FALSE),0)</f>
        <v>399792.95906669361</v>
      </c>
      <c r="N62" s="33">
        <f ca="1">IFERROR(VLOOKUP($D62&amp;N$35, 'TPV - Process Workings'!$F$1:$I$95,$E$9,FALSE),0)</f>
        <v>627019.0308000464</v>
      </c>
      <c r="O62" s="33">
        <f ca="1">IFERROR(VLOOKUP($D62&amp;O$35, 'TPV2 - Process Workings'!$F$1:$I$95,$E$9,FALSE),0)</f>
        <v>-26255.925433342974</v>
      </c>
      <c r="P62" s="33">
        <f ca="1">IFERROR(VLOOKUP($D62&amp;P$35, 'TPV3 - Process Workings'!$F$1:$I$95,$E$9,FALSE),0)</f>
        <v>-281885.25613336492</v>
      </c>
      <c r="Q62" s="33">
        <f ca="1">IFERROR(VLOOKUP($D62&amp;Q$35, 'LPL - Process Workings'!$F$1:$I$96,$E$9,FALSE),0)</f>
        <v>740632.06666672276</v>
      </c>
    </row>
    <row r="63" spans="1:19">
      <c r="B63" s="30"/>
      <c r="C63" s="31"/>
      <c r="D63" s="32" t="s">
        <v>227</v>
      </c>
      <c r="E63" s="16" t="s">
        <v>29</v>
      </c>
      <c r="F63" s="36"/>
      <c r="G63" s="33"/>
      <c r="H63" s="33"/>
      <c r="I63" s="33"/>
      <c r="J63" s="33"/>
      <c r="K63" s="33"/>
      <c r="M63" s="33"/>
      <c r="N63" s="33"/>
      <c r="O63" s="33"/>
      <c r="P63" s="33"/>
      <c r="Q63" s="33"/>
    </row>
    <row r="64" spans="1:19">
      <c r="B64" s="30"/>
      <c r="C64" s="30"/>
      <c r="F64" s="40"/>
      <c r="G64" s="44"/>
      <c r="H64" s="44"/>
      <c r="I64" s="44"/>
      <c r="J64" s="44"/>
      <c r="K64" s="44"/>
      <c r="L64" s="40"/>
      <c r="M64" s="44"/>
      <c r="N64" s="44"/>
      <c r="O64" s="44"/>
      <c r="P64" s="44"/>
      <c r="Q64" s="44"/>
    </row>
    <row r="65" spans="2:19">
      <c r="B65" s="30"/>
      <c r="C65" s="31" t="s">
        <v>40</v>
      </c>
      <c r="D65" s="16" t="s">
        <v>36</v>
      </c>
      <c r="E65" s="16" t="s">
        <v>29</v>
      </c>
      <c r="F65" s="40"/>
      <c r="G65" s="44">
        <f>SUM(G66:G66)</f>
        <v>0</v>
      </c>
      <c r="H65" s="44">
        <f>SUM(H66:H66)</f>
        <v>0</v>
      </c>
      <c r="I65" s="44">
        <f>SUM(I66:I66)</f>
        <v>0</v>
      </c>
      <c r="J65" s="44">
        <f>SUM(J66:J66)</f>
        <v>0</v>
      </c>
      <c r="K65" s="44">
        <f>SUM(K66:K66)</f>
        <v>0</v>
      </c>
      <c r="L65" s="40"/>
      <c r="M65" s="44">
        <f>SUM(M66:M66)</f>
        <v>0</v>
      </c>
      <c r="N65" s="44">
        <f ca="1">SUM(N66:N66)</f>
        <v>915405.47731911577</v>
      </c>
      <c r="O65" s="44">
        <f ca="1">SUM(O66:O66)</f>
        <v>915405.47731911577</v>
      </c>
      <c r="P65" s="44">
        <f ca="1">SUM(P66:P66)</f>
        <v>0</v>
      </c>
      <c r="Q65" s="44">
        <f>SUM(Q66:Q66)</f>
        <v>0</v>
      </c>
    </row>
    <row r="66" spans="2:19">
      <c r="B66" s="30"/>
      <c r="C66" s="30"/>
      <c r="D66" s="16" t="s">
        <v>41</v>
      </c>
      <c r="E66" s="16" t="s">
        <v>29</v>
      </c>
      <c r="G66" s="33">
        <f>IFERROR(VLOOKUP($D66&amp;G$35, 'USN - Process Workings'!$F$1:$I$95,$E$9,FALSE),0)</f>
        <v>0</v>
      </c>
      <c r="H66" s="33">
        <f>IFERROR(VLOOKUP($D66&amp;H$35, 'TPV - Process Workings'!$F$1:$I$95,$E$9,FALSE),0)</f>
        <v>0</v>
      </c>
      <c r="I66" s="33">
        <f>IFERROR(VLOOKUP($D66&amp;I$35, 'TPV - Process Workings'!$F$1:$I$95,$E$9,FALSE),0)</f>
        <v>0</v>
      </c>
      <c r="J66" s="33">
        <f>IFERROR(VLOOKUP($D66&amp;J$35, 'TPV - Process Workings'!$F$1:$I$95,$E$9,FALSE),0)</f>
        <v>0</v>
      </c>
      <c r="K66" s="33">
        <f>IFERROR(VLOOKUP($D66&amp;K$35, 'LPL - Process Workings'!$F$1:$I$96,$E$9,FALSE),0)</f>
        <v>0</v>
      </c>
      <c r="M66" s="33">
        <f>IFERROR(VLOOKUP($D66&amp;M$35, 'USN - Process Workings'!$F$1:$I$95,$E$9,FALSE),0)</f>
        <v>0</v>
      </c>
      <c r="N66" s="33">
        <f ca="1">IFERROR(VLOOKUP($D66&amp;N$35, 'TPV - Process Workings'!$F$1:$I$95,$E$9,FALSE),0)</f>
        <v>915405.47731911577</v>
      </c>
      <c r="O66" s="33">
        <f ca="1">IFERROR(VLOOKUP($D66&amp;O$35, 'TPV2 - Process Workings'!$F$1:$I$95,$E$9,FALSE),0)</f>
        <v>915405.47731911577</v>
      </c>
      <c r="P66" s="33">
        <f ca="1">IFERROR(VLOOKUP($D66&amp;P$35, 'TPV3 - Process Workings'!$F$1:$I$95,$E$9,FALSE),0)</f>
        <v>0</v>
      </c>
      <c r="Q66" s="33">
        <f>IFERROR(VLOOKUP($D66&amp;Q$35, 'LPL - Process Workings'!$F$1:$I$96,$E$9,FALSE),0)</f>
        <v>0</v>
      </c>
    </row>
    <row r="67" spans="2:19">
      <c r="B67" s="30"/>
      <c r="C67" s="30"/>
      <c r="D67" s="16" t="s">
        <v>227</v>
      </c>
      <c r="E67" s="16" t="s">
        <v>29</v>
      </c>
      <c r="G67" s="33"/>
      <c r="H67" s="33"/>
      <c r="I67" s="33"/>
      <c r="J67" s="33"/>
      <c r="K67" s="33"/>
      <c r="M67" s="33"/>
      <c r="N67" s="33">
        <f ca="1">N62+N66</f>
        <v>1542424.5081191622</v>
      </c>
      <c r="O67" s="33">
        <f ca="1">O62+O66</f>
        <v>889149.55188577285</v>
      </c>
      <c r="P67" s="33">
        <f ca="1">P62+P66</f>
        <v>-281885.25613336492</v>
      </c>
      <c r="Q67" s="33"/>
    </row>
    <row r="68" spans="2:19">
      <c r="B68" s="30"/>
      <c r="C68" s="30"/>
      <c r="F68" s="40"/>
      <c r="G68" s="40"/>
      <c r="H68" s="40"/>
      <c r="I68" s="40"/>
      <c r="J68" s="40"/>
      <c r="K68" s="40"/>
      <c r="L68" s="40"/>
    </row>
    <row r="69" spans="2:19">
      <c r="B69" s="30"/>
      <c r="C69" s="45" t="s">
        <v>36</v>
      </c>
      <c r="D69" s="16" t="s">
        <v>36</v>
      </c>
      <c r="E69" s="16" t="s">
        <v>29</v>
      </c>
      <c r="F69" s="40"/>
      <c r="G69" s="44">
        <f ca="1">G47+G59+G65</f>
        <v>1672500</v>
      </c>
      <c r="H69" s="44">
        <f ca="1">H47+H59+H65</f>
        <v>1422500</v>
      </c>
      <c r="I69" s="44">
        <f ca="1">I47+I59+I65</f>
        <v>1422500</v>
      </c>
      <c r="J69" s="44">
        <f ca="1">J47+J59+J65</f>
        <v>1422500</v>
      </c>
      <c r="K69" s="44">
        <f ca="1">K47+K59+K65</f>
        <v>567500</v>
      </c>
      <c r="L69" s="44"/>
      <c r="M69" s="44">
        <f ca="1">M47+M59+M65</f>
        <v>694292.95906669367</v>
      </c>
      <c r="N69" s="44">
        <f ca="1">N47+N59+N65</f>
        <v>1826924.5081191622</v>
      </c>
      <c r="O69" s="44">
        <f ca="1">O47+O59+O65</f>
        <v>1173649.5518857727</v>
      </c>
      <c r="P69" s="44">
        <f ca="1">P47+P59+P65</f>
        <v>-32885.256133364921</v>
      </c>
      <c r="Q69" s="44">
        <f ca="1">Q47+Q59+Q65</f>
        <v>854132.06666672276</v>
      </c>
    </row>
    <row r="70" spans="2:19">
      <c r="B70" s="30"/>
      <c r="C70" s="45"/>
      <c r="F70" s="40"/>
      <c r="G70" s="44"/>
      <c r="H70" s="44"/>
      <c r="I70" s="44"/>
      <c r="J70" s="44"/>
      <c r="K70" s="44"/>
      <c r="L70" s="44"/>
      <c r="M70" s="44"/>
      <c r="N70" s="44"/>
      <c r="O70" s="44"/>
      <c r="P70" s="44"/>
      <c r="Q70" s="44"/>
    </row>
    <row r="71" spans="2:19">
      <c r="B71" s="30"/>
      <c r="C71" s="18" t="s">
        <v>49</v>
      </c>
      <c r="F71" s="40"/>
      <c r="G71" s="44"/>
      <c r="H71" s="44"/>
      <c r="I71" s="44"/>
      <c r="J71" s="44"/>
      <c r="K71" s="44"/>
      <c r="L71" s="44"/>
      <c r="M71" s="298"/>
      <c r="N71" s="297"/>
      <c r="O71" s="297"/>
      <c r="P71" s="297"/>
      <c r="Q71" s="44"/>
    </row>
    <row r="72" spans="2:19">
      <c r="B72" s="30"/>
      <c r="F72" s="40"/>
      <c r="G72" s="44"/>
      <c r="H72" s="44"/>
      <c r="I72" s="44"/>
      <c r="J72" s="44"/>
      <c r="K72" s="44"/>
      <c r="L72" s="44"/>
      <c r="M72" s="297"/>
      <c r="N72" s="44"/>
      <c r="O72" s="44"/>
      <c r="P72" s="44"/>
      <c r="Q72" s="44"/>
    </row>
    <row r="73" spans="2:19">
      <c r="B73" s="30"/>
      <c r="C73" s="66" t="s">
        <v>228</v>
      </c>
      <c r="F73" s="40"/>
      <c r="G73" s="44"/>
      <c r="H73" s="44"/>
      <c r="I73" s="44"/>
      <c r="J73" s="44"/>
      <c r="K73" s="44"/>
      <c r="L73" s="44"/>
      <c r="M73" s="44"/>
      <c r="N73" s="44"/>
      <c r="O73" s="44"/>
      <c r="P73" s="44"/>
      <c r="Q73" s="44"/>
    </row>
    <row r="74" spans="2:19">
      <c r="B74" s="30"/>
      <c r="C74" s="66" t="s">
        <v>229</v>
      </c>
      <c r="F74" s="40"/>
      <c r="G74" s="44"/>
      <c r="H74" s="44"/>
      <c r="I74" s="44"/>
      <c r="J74" s="44"/>
      <c r="K74" s="44"/>
      <c r="L74" s="44"/>
      <c r="M74" s="44"/>
      <c r="N74" s="44"/>
      <c r="O74" s="44"/>
      <c r="P74" s="44"/>
      <c r="Q74" s="44"/>
    </row>
    <row r="75" spans="2:19">
      <c r="B75" s="30"/>
      <c r="C75" s="66" t="s">
        <v>230</v>
      </c>
      <c r="F75" s="40"/>
      <c r="G75" s="44"/>
      <c r="H75" s="44"/>
      <c r="I75" s="44"/>
      <c r="J75" s="44"/>
      <c r="K75" s="44"/>
      <c r="L75" s="44"/>
      <c r="M75" s="44"/>
      <c r="N75" s="44"/>
      <c r="O75" s="44"/>
      <c r="P75" s="44"/>
      <c r="Q75" s="44"/>
    </row>
    <row r="77" spans="2:19" s="19" customFormat="1">
      <c r="B77" s="19" t="s">
        <v>25</v>
      </c>
      <c r="D77" s="19" t="s">
        <v>19</v>
      </c>
      <c r="E77" s="19" t="s">
        <v>20</v>
      </c>
      <c r="G77" s="20" t="s">
        <v>21</v>
      </c>
      <c r="H77" s="20" t="s">
        <v>21</v>
      </c>
      <c r="I77" s="20" t="s">
        <v>21</v>
      </c>
      <c r="J77" s="20" t="s">
        <v>21</v>
      </c>
      <c r="K77" s="20" t="s">
        <v>21</v>
      </c>
      <c r="L77" s="20"/>
      <c r="M77" s="20" t="s">
        <v>22</v>
      </c>
      <c r="N77" s="20" t="s">
        <v>22</v>
      </c>
      <c r="O77" s="20" t="s">
        <v>22</v>
      </c>
      <c r="P77" s="20" t="s">
        <v>22</v>
      </c>
      <c r="Q77" s="19" t="s">
        <v>22</v>
      </c>
      <c r="S77" s="21" t="s">
        <v>161</v>
      </c>
    </row>
    <row r="78" spans="2:19">
      <c r="B78" s="30"/>
      <c r="C78" s="30"/>
    </row>
    <row r="79" spans="2:19">
      <c r="B79" s="46"/>
      <c r="C79" s="47"/>
      <c r="D79" s="48"/>
      <c r="E79" s="48"/>
      <c r="F79" s="48"/>
      <c r="G79" s="29" t="s">
        <v>15</v>
      </c>
      <c r="H79" s="29" t="s">
        <v>649</v>
      </c>
      <c r="I79" s="29" t="s">
        <v>509</v>
      </c>
      <c r="J79" s="29" t="s">
        <v>650</v>
      </c>
      <c r="K79" s="29" t="s">
        <v>17</v>
      </c>
      <c r="L79" s="29"/>
      <c r="M79" s="29" t="s">
        <v>15</v>
      </c>
      <c r="N79" s="29" t="s">
        <v>16</v>
      </c>
      <c r="O79" s="29" t="s">
        <v>509</v>
      </c>
      <c r="P79" s="29" t="s">
        <v>650</v>
      </c>
      <c r="Q79" s="48" t="s">
        <v>17</v>
      </c>
      <c r="R79" s="38"/>
    </row>
    <row r="80" spans="2:19">
      <c r="C80" s="45" t="s">
        <v>27</v>
      </c>
      <c r="D80" s="16" t="s">
        <v>36</v>
      </c>
      <c r="E80" s="16" t="s">
        <v>29</v>
      </c>
      <c r="G80" s="33">
        <f ca="1">SUM(G81:G83)</f>
        <v>1825000</v>
      </c>
      <c r="H80" s="33">
        <f ca="1">SUM(H81:H83)</f>
        <v>1450000</v>
      </c>
      <c r="I80" s="33">
        <f ca="1">SUM(I81:I83)</f>
        <v>1450000</v>
      </c>
      <c r="J80" s="33">
        <f ca="1">SUM(J81:J83)</f>
        <v>1575000</v>
      </c>
      <c r="K80" s="33">
        <f ca="1">SUM(K81:K83)</f>
        <v>250000</v>
      </c>
      <c r="M80" s="33">
        <f ca="1">SUM(M81:M83)</f>
        <v>365000</v>
      </c>
      <c r="N80" s="33">
        <f ca="1">SUM(N81:N83)</f>
        <v>290000</v>
      </c>
      <c r="O80" s="33">
        <f ca="1">SUM(O81:O83)</f>
        <v>290000</v>
      </c>
      <c r="P80" s="33">
        <f ca="1">SUM(P81:P83)</f>
        <v>315000</v>
      </c>
      <c r="Q80" s="33">
        <f ca="1">SUM(Q81:Q83)</f>
        <v>50000</v>
      </c>
    </row>
    <row r="81" spans="3:17">
      <c r="D81" s="32" t="s">
        <v>42</v>
      </c>
      <c r="E81" s="16" t="s">
        <v>29</v>
      </c>
      <c r="G81" s="33">
        <f ca="1">IFERROR(VLOOKUP($D81&amp;G$35, 'USN - Central Costs'!$F$1:$I$96,Sensitivity_Selector,FALSE),0)</f>
        <v>1450000</v>
      </c>
      <c r="H81" s="33">
        <f ca="1">IFERROR(VLOOKUP($D81&amp;H$35, 'TPV - Central Costs'!$F$1:$I$95,Sensitivity_Selector,FALSE),0)</f>
        <v>1450000</v>
      </c>
      <c r="I81" s="33">
        <f ca="1">IFERROR(VLOOKUP($D81&amp;I$35, 'TPV2 - Central Costs'!$F$1:$I$95,Sensitivity_Selector,FALSE),0)</f>
        <v>1450000</v>
      </c>
      <c r="J81" s="33">
        <f ca="1">IFERROR(VLOOKUP($D81&amp;J$35, 'TPV3 - Central Costs'!$F$1:$I$95,Sensitivity_Selector,FALSE),0)</f>
        <v>1200000</v>
      </c>
      <c r="K81" s="33">
        <f>IFERROR(VLOOKUP($D81&amp;K$35, 'LPL - Central Costs'!$F$1:$I$95,Sensitivity_Selector,FALSE),0)</f>
        <v>0</v>
      </c>
      <c r="M81" s="33">
        <f ca="1">IFERROR(VLOOKUP($D81&amp;M$35, 'USN - Central Costs'!$F$1:$I$96,Sensitivity_Selector,FALSE),0)</f>
        <v>290000</v>
      </c>
      <c r="N81" s="33">
        <f ca="1">IFERROR(VLOOKUP($D81&amp;N$35, 'TPV - Central Costs'!$F$1:$I$95,Sensitivity_Selector,FALSE),0)</f>
        <v>290000</v>
      </c>
      <c r="O81" s="33">
        <f ca="1">IFERROR(VLOOKUP($D81&amp;O$35, 'TPV2 - Central Costs'!$F$1:$I$95,Sensitivity_Selector,FALSE),0)</f>
        <v>290000</v>
      </c>
      <c r="P81" s="33">
        <f ca="1">IFERROR(VLOOKUP($D81&amp;P$35, 'TPV3 - Central Costs'!$F$1:$I$95,Sensitivity_Selector,FALSE),0)</f>
        <v>240000</v>
      </c>
      <c r="Q81" s="33">
        <f>IFERROR(VLOOKUP($D81&amp;Q$35, 'LPL - Central Costs'!$F$1:$I$95,Sensitivity_Selector,FALSE),0)</f>
        <v>0</v>
      </c>
    </row>
    <row r="82" spans="3:17">
      <c r="D82" s="32" t="s">
        <v>43</v>
      </c>
      <c r="E82" s="16" t="s">
        <v>29</v>
      </c>
      <c r="G82" s="33">
        <f>IFERROR(VLOOKUP($D82&amp;G$35, 'USN - Central Costs'!$F$1:$I$96,Sensitivity_Selector,FALSE),0)</f>
        <v>0</v>
      </c>
      <c r="H82" s="33">
        <f>IFERROR(VLOOKUP($D82&amp;H$35, 'TPV - Central Costs'!$F$1:$I$95,Sensitivity_Selector,FALSE),0)</f>
        <v>0</v>
      </c>
      <c r="I82" s="33">
        <f>IFERROR(VLOOKUP($D82&amp;I$35, 'TPV2 - Central Costs'!$F$1:$I$95,Sensitivity_Selector,FALSE),0)</f>
        <v>0</v>
      </c>
      <c r="J82" s="33">
        <f>IFERROR(VLOOKUP($D82&amp;J$35, 'TPV3 - Central Costs'!$F$1:$I$95,Sensitivity_Selector,FALSE),0)</f>
        <v>0</v>
      </c>
      <c r="K82" s="33">
        <f ca="1">IFERROR(VLOOKUP($D82&amp;K$35, 'LPL - Central Costs'!$F$1:$I$95,Sensitivity_Selector,FALSE),0)</f>
        <v>250000</v>
      </c>
      <c r="M82" s="33">
        <f>IFERROR(VLOOKUP($D82&amp;M$35, 'USN - Central Costs'!$F$1:$I$96,Sensitivity_Selector,FALSE),0)</f>
        <v>0</v>
      </c>
      <c r="N82" s="33">
        <f>IFERROR(VLOOKUP($D82&amp;N$35, 'TPV - Central Costs'!$F$1:$I$95,Sensitivity_Selector,FALSE),0)</f>
        <v>0</v>
      </c>
      <c r="O82" s="33">
        <f>IFERROR(VLOOKUP($D82&amp;O$35, 'TPV2 - Central Costs'!$F$1:$I$95,Sensitivity_Selector,FALSE),0)</f>
        <v>0</v>
      </c>
      <c r="P82" s="33">
        <f>IFERROR(VLOOKUP($D82&amp;P$35, 'TPV3 - Central Costs'!$F$1:$I$95,Sensitivity_Selector,FALSE),0)</f>
        <v>0</v>
      </c>
      <c r="Q82" s="33">
        <f ca="1">IFERROR(VLOOKUP($D82&amp;Q$35, 'LPL - Central Costs'!$F$1:$I$95,Sensitivity_Selector,FALSE),0)</f>
        <v>50000</v>
      </c>
    </row>
    <row r="83" spans="3:17">
      <c r="D83" s="32" t="s">
        <v>44</v>
      </c>
      <c r="E83" s="16" t="s">
        <v>29</v>
      </c>
      <c r="G83" s="33">
        <f ca="1">IFERROR(VLOOKUP($D83&amp;G$35, 'USN - Central Costs'!$F$1:$I$96,Sensitivity_Selector,FALSE),0)</f>
        <v>375000</v>
      </c>
      <c r="H83" s="33">
        <f ca="1">IFERROR(VLOOKUP($D83&amp;H$35, 'TPV - Central Costs'!$F$1:$I$95,Sensitivity_Selector,FALSE),0)</f>
        <v>0</v>
      </c>
      <c r="I83" s="33">
        <f ca="1">IFERROR(VLOOKUP($D83&amp;I$35, 'TPV2 - Central Costs'!$F$1:$I$95,Sensitivity_Selector,FALSE),0)</f>
        <v>0</v>
      </c>
      <c r="J83" s="33">
        <f ca="1">IFERROR(VLOOKUP($D83&amp;J$35, 'TPV3 - Central Costs'!$F$1:$I$95,Sensitivity_Selector,FALSE),0)</f>
        <v>375000</v>
      </c>
      <c r="K83" s="33">
        <f>IFERROR(VLOOKUP($D83&amp;K$35, 'LPL - Central Costs'!$F$1:$I$95,Sensitivity_Selector,FALSE),0)</f>
        <v>0</v>
      </c>
      <c r="M83" s="33">
        <f ca="1">IFERROR(VLOOKUP($D83&amp;M$35, 'USN - Central Costs'!$F$1:$I$96,Sensitivity_Selector,FALSE),0)</f>
        <v>75000</v>
      </c>
      <c r="N83" s="33">
        <f ca="1">IFERROR(VLOOKUP($D83&amp;N$35, 'TPV - Central Costs'!$F$1:$I$95,Sensitivity_Selector,FALSE),0)</f>
        <v>0</v>
      </c>
      <c r="O83" s="33">
        <f ca="1">IFERROR(VLOOKUP($D83&amp;O$35, 'TPV2 - Central Costs'!$F$1:$I$95,Sensitivity_Selector,FALSE),0)</f>
        <v>0</v>
      </c>
      <c r="P83" s="33">
        <f ca="1">IFERROR(VLOOKUP($D83&amp;P$35, 'TPV3 - Central Costs'!$F$1:$I$95,Sensitivity_Selector,FALSE),0)</f>
        <v>75000</v>
      </c>
      <c r="Q83" s="33">
        <f>IFERROR(VLOOKUP($D83&amp;Q$35, 'LPL - Central Costs'!$F$1:$I$95,Sensitivity_Selector,FALSE),0)</f>
        <v>0</v>
      </c>
    </row>
    <row r="84" spans="3:17">
      <c r="C84" s="188"/>
      <c r="G84" s="33"/>
      <c r="H84" s="33"/>
      <c r="I84" s="33"/>
      <c r="J84" s="33"/>
      <c r="K84" s="33"/>
      <c r="M84" s="33"/>
      <c r="N84" s="33"/>
      <c r="O84" s="33"/>
      <c r="P84" s="33"/>
      <c r="Q84" s="33"/>
    </row>
    <row r="85" spans="3:17">
      <c r="C85" s="45" t="s">
        <v>37</v>
      </c>
      <c r="D85" s="16" t="s">
        <v>36</v>
      </c>
      <c r="E85" s="16" t="s">
        <v>29</v>
      </c>
      <c r="G85" s="33">
        <f ca="1">SUM(G86:G88)</f>
        <v>115000</v>
      </c>
      <c r="H85" s="33">
        <f t="shared" ref="H85:K85" ca="1" si="4">SUM(H86:H88)</f>
        <v>115000</v>
      </c>
      <c r="I85" s="33">
        <f t="shared" ref="I85" ca="1" si="5">SUM(I86:I88)</f>
        <v>115000</v>
      </c>
      <c r="J85" s="33">
        <f t="shared" ref="J85" ca="1" si="6">SUM(J86:J88)</f>
        <v>115000</v>
      </c>
      <c r="K85" s="33">
        <f t="shared" ca="1" si="4"/>
        <v>115000</v>
      </c>
      <c r="M85" s="33">
        <f ca="1">SUM(M86:M88)</f>
        <v>690000</v>
      </c>
      <c r="N85" s="33">
        <f t="shared" ref="N85:O85" ca="1" si="7">SUM(N86:N88)</f>
        <v>600000</v>
      </c>
      <c r="O85" s="33">
        <f t="shared" ca="1" si="7"/>
        <v>600000</v>
      </c>
      <c r="P85" s="33">
        <f t="shared" ref="P85" ca="1" si="8">SUM(P86:P88)</f>
        <v>690000</v>
      </c>
      <c r="Q85" s="33">
        <f t="shared" ref="Q85" ca="1" si="9">SUM(Q86:Q88)</f>
        <v>450000</v>
      </c>
    </row>
    <row r="86" spans="3:17">
      <c r="D86" s="16" t="s">
        <v>45</v>
      </c>
      <c r="E86" s="16" t="s">
        <v>29</v>
      </c>
      <c r="G86" s="33">
        <f ca="1">IFERROR(VLOOKUP($D86&amp;G$35, 'USN - Central Costs'!$F$1:$I$96,Sensitivity_Selector,FALSE),0)</f>
        <v>100000</v>
      </c>
      <c r="H86" s="33">
        <f ca="1">IFERROR(VLOOKUP($D86&amp;H$35, 'USN - Central Costs'!$F$1:$I$96,Sensitivity_Selector,FALSE),0)</f>
        <v>100000</v>
      </c>
      <c r="I86" s="33">
        <f ca="1">IFERROR(VLOOKUP($D86&amp;I$35, 'USN - Central Costs'!$F$1:$I$96,Sensitivity_Selector,FALSE),0)</f>
        <v>100000</v>
      </c>
      <c r="J86" s="33">
        <f ca="1">IFERROR(VLOOKUP($D86&amp;J$35, 'USN - Central Costs'!$F$1:$I$96,Sensitivity_Selector,FALSE),0)</f>
        <v>100000</v>
      </c>
      <c r="K86" s="33">
        <f ca="1">IFERROR(VLOOKUP($D86&amp;K$35, 'USN - Central Costs'!$F$1:$I$96,Sensitivity_Selector,FALSE),0)</f>
        <v>100000</v>
      </c>
      <c r="M86" s="33">
        <f ca="1">IFERROR(VLOOKUP($D86&amp;M$35, 'USN - Central Costs'!$F$1:$I$96,Sensitivity_Selector,FALSE),0)</f>
        <v>600000</v>
      </c>
      <c r="N86" s="33">
        <f ca="1">IFERROR(VLOOKUP($D86&amp;N$35, 'TPV - Central Costs'!$F$1:$I$95,Sensitivity_Selector,FALSE),0)</f>
        <v>600000</v>
      </c>
      <c r="O86" s="33">
        <f ca="1">IFERROR(VLOOKUP($D86&amp;O$35, 'TPV2 - Central Costs'!$F$1:$I$95,Sensitivity_Selector,FALSE),0)</f>
        <v>600000</v>
      </c>
      <c r="P86" s="33">
        <f ca="1">IFERROR(VLOOKUP($D86&amp;P$35, 'TPV3 - Central Costs'!$F$1:$I$95,Sensitivity_Selector,FALSE),0)</f>
        <v>600000</v>
      </c>
      <c r="Q86" s="33">
        <f>IFERROR(VLOOKUP($D86&amp;Q$35, 'LPL - Central Costs'!$F$1:$I$95,Sensitivity_Selector,FALSE),0)</f>
        <v>0</v>
      </c>
    </row>
    <row r="87" spans="3:17">
      <c r="D87" s="16" t="s">
        <v>46</v>
      </c>
      <c r="E87" s="16" t="s">
        <v>29</v>
      </c>
      <c r="G87" s="33">
        <f>IFERROR(VLOOKUP($D87&amp;G$35, 'USN - Central Costs'!$F$1:$I$96,Sensitivity_Selector,FALSE),0)</f>
        <v>0</v>
      </c>
      <c r="H87" s="33">
        <f>IFERROR(VLOOKUP($D87&amp;H$35, 'USN - Central Costs'!$F$1:$I$96,Sensitivity_Selector,FALSE),0)</f>
        <v>0</v>
      </c>
      <c r="I87" s="33">
        <f>IFERROR(VLOOKUP($D87&amp;I$35, 'USN - Central Costs'!$F$1:$I$96,Sensitivity_Selector,FALSE),0)</f>
        <v>0</v>
      </c>
      <c r="J87" s="33">
        <f>IFERROR(VLOOKUP($D87&amp;J$35, 'USN - Central Costs'!$F$1:$I$96,Sensitivity_Selector,FALSE),0)</f>
        <v>0</v>
      </c>
      <c r="K87" s="33">
        <f>IFERROR(VLOOKUP($D87&amp;K$35, 'USN - Central Costs'!$F$1:$I$96,Sensitivity_Selector,FALSE),0)</f>
        <v>0</v>
      </c>
      <c r="M87" s="33">
        <f>IFERROR(VLOOKUP($D87&amp;M$35, 'USN - Central Costs'!$F$1:$I$96,Sensitivity_Selector,FALSE),0)</f>
        <v>0</v>
      </c>
      <c r="N87" s="33">
        <f>IFERROR(VLOOKUP($D87&amp;N$35, 'TPV - Central Costs'!$F$1:$I$95,Sensitivity_Selector,FALSE),0)</f>
        <v>0</v>
      </c>
      <c r="O87" s="33">
        <f>IFERROR(VLOOKUP($D87&amp;O$35, 'TPV2 - Central Costs'!$F$1:$I$95,Sensitivity_Selector,FALSE),0)</f>
        <v>0</v>
      </c>
      <c r="P87" s="33">
        <f>IFERROR(VLOOKUP($D87&amp;P$35, 'TPV3 - Central Costs'!$F$1:$I$95,Sensitivity_Selector,FALSE),0)</f>
        <v>0</v>
      </c>
      <c r="Q87" s="33">
        <f ca="1">IFERROR(VLOOKUP($D87&amp;Q$35, 'LPL - Central Costs'!$F$1:$I$95,Sensitivity_Selector,FALSE),0)</f>
        <v>450000</v>
      </c>
    </row>
    <row r="88" spans="3:17">
      <c r="D88" s="16" t="s">
        <v>47</v>
      </c>
      <c r="E88" s="16" t="s">
        <v>29</v>
      </c>
      <c r="G88" s="33">
        <f ca="1">IFERROR(VLOOKUP($D88&amp;G$35, 'USN - Central Costs'!$F$1:$I$96,Sensitivity_Selector,FALSE),0)</f>
        <v>15000</v>
      </c>
      <c r="H88" s="33">
        <f ca="1">IFERROR(VLOOKUP($D88&amp;H$35, 'USN - Central Costs'!$F$1:$I$96,Sensitivity_Selector,FALSE),0)</f>
        <v>15000</v>
      </c>
      <c r="I88" s="33">
        <f ca="1">IFERROR(VLOOKUP($D88&amp;I$35, 'USN - Central Costs'!$F$1:$I$96,Sensitivity_Selector,FALSE),0)</f>
        <v>15000</v>
      </c>
      <c r="J88" s="33">
        <f ca="1">IFERROR(VLOOKUP($D88&amp;J$35, 'USN - Central Costs'!$F$1:$I$96,Sensitivity_Selector,FALSE),0)</f>
        <v>15000</v>
      </c>
      <c r="K88" s="33">
        <f ca="1">IFERROR(VLOOKUP($D88&amp;K$35, 'USN - Central Costs'!$F$1:$I$96,Sensitivity_Selector,FALSE),0)</f>
        <v>15000</v>
      </c>
      <c r="M88" s="33">
        <f ca="1">IFERROR(VLOOKUP($D88&amp;M$35, 'USN - Central Costs'!$F$1:$I$96,Sensitivity_Selector,FALSE),0)</f>
        <v>90000</v>
      </c>
      <c r="N88" s="33">
        <f ca="1">IFERROR(VLOOKUP($D88&amp;N$35, 'TPV - Central Costs'!$F$1:$I$95,Sensitivity_Selector,FALSE),0)</f>
        <v>0</v>
      </c>
      <c r="O88" s="33">
        <f ca="1">IFERROR(VLOOKUP($D88&amp;O$35, 'TPV2 - Central Costs'!$F$1:$I$95,Sensitivity_Selector,FALSE),0)</f>
        <v>0</v>
      </c>
      <c r="P88" s="33">
        <f ca="1">IFERROR(VLOOKUP($D88&amp;P$35, 'TPV3 - Central Costs'!$F$1:$I$95,Sensitivity_Selector,FALSE),0)</f>
        <v>90000</v>
      </c>
      <c r="Q88" s="33">
        <f>IFERROR(VLOOKUP($D88&amp;Q$35, 'LPL - Central Costs'!$F$1:$I$95,Sensitivity_Selector,FALSE),0)</f>
        <v>0</v>
      </c>
    </row>
    <row r="89" spans="3:17">
      <c r="G89" s="33"/>
      <c r="H89" s="33"/>
      <c r="I89" s="33"/>
      <c r="J89" s="33"/>
      <c r="K89" s="33"/>
      <c r="M89" s="33"/>
      <c r="N89" s="33"/>
      <c r="O89" s="33"/>
      <c r="P89" s="33"/>
      <c r="Q89" s="33"/>
    </row>
    <row r="90" spans="3:17">
      <c r="C90" s="45" t="s">
        <v>48</v>
      </c>
      <c r="D90" s="16" t="s">
        <v>36</v>
      </c>
      <c r="E90" s="16" t="s">
        <v>29</v>
      </c>
      <c r="F90" s="36"/>
      <c r="G90" s="33">
        <f ca="1">SUM(G85,G80)</f>
        <v>1940000</v>
      </c>
      <c r="H90" s="33">
        <f ca="1">SUM(H85,H80)</f>
        <v>1565000</v>
      </c>
      <c r="I90" s="33">
        <f ca="1">SUM(I85,I80)</f>
        <v>1565000</v>
      </c>
      <c r="J90" s="33">
        <f ca="1">SUM(J85,J80)</f>
        <v>1690000</v>
      </c>
      <c r="K90" s="33">
        <f ca="1">SUM(K85,K80)</f>
        <v>365000</v>
      </c>
      <c r="L90" s="33"/>
      <c r="M90" s="33">
        <f ca="1">SUM(M85,M80)</f>
        <v>1055000</v>
      </c>
      <c r="N90" s="33">
        <f ca="1">SUM(N85,N80)</f>
        <v>890000</v>
      </c>
      <c r="O90" s="33">
        <f ca="1">SUM(O85,O80)</f>
        <v>890000</v>
      </c>
      <c r="P90" s="33">
        <f ca="1">SUM(P85,P80)</f>
        <v>1005000</v>
      </c>
      <c r="Q90" s="33">
        <f ca="1">SUM(Q85,Q80)</f>
        <v>500000</v>
      </c>
    </row>
    <row r="92" spans="3:17">
      <c r="C92" s="18" t="s">
        <v>49</v>
      </c>
    </row>
    <row r="94" spans="3:17">
      <c r="C94" s="66" t="s">
        <v>50</v>
      </c>
    </row>
    <row r="95" spans="3:17">
      <c r="C95" s="66" t="s">
        <v>131</v>
      </c>
    </row>
    <row r="96" spans="3:17">
      <c r="C96" s="66" t="s">
        <v>23</v>
      </c>
    </row>
    <row r="98" spans="2:19" s="19" customFormat="1">
      <c r="B98" s="19" t="s">
        <v>168</v>
      </c>
      <c r="G98" s="20"/>
      <c r="H98" s="20"/>
      <c r="I98" s="20"/>
      <c r="J98" s="20"/>
      <c r="K98" s="20"/>
      <c r="L98" s="20"/>
      <c r="M98" s="20"/>
      <c r="N98" s="20"/>
      <c r="O98" s="20"/>
      <c r="P98" s="20"/>
      <c r="Q98" s="20"/>
      <c r="S98" s="21"/>
    </row>
    <row r="99" spans="2:19" s="149" customFormat="1">
      <c r="G99" s="150"/>
      <c r="H99" s="150"/>
      <c r="I99" s="150"/>
      <c r="J99" s="150"/>
      <c r="K99" s="150"/>
      <c r="L99" s="150"/>
      <c r="M99" s="150"/>
      <c r="N99" s="150"/>
      <c r="O99" s="150"/>
      <c r="P99" s="150"/>
      <c r="Q99" s="150"/>
      <c r="S99" s="151"/>
    </row>
    <row r="100" spans="2:19">
      <c r="C100" s="16" t="s">
        <v>164</v>
      </c>
      <c r="G100" s="20" t="s">
        <v>228</v>
      </c>
      <c r="H100" s="20" t="s">
        <v>229</v>
      </c>
      <c r="I100" s="20" t="s">
        <v>230</v>
      </c>
      <c r="J100" s="20"/>
    </row>
    <row r="101" spans="2:19">
      <c r="D101" s="16" t="s">
        <v>15</v>
      </c>
      <c r="E101" s="16" t="s">
        <v>29</v>
      </c>
      <c r="G101" s="176">
        <f ca="1">'USN - Process Workings'!G7+'USN - Systems Workings'!G7</f>
        <v>7500</v>
      </c>
      <c r="H101" s="176">
        <f ca="1">'USN - Process Workings'!H7+'USN - Systems Workings'!H7</f>
        <v>587500</v>
      </c>
      <c r="I101" s="176">
        <f ca="1">'USN - Process Workings'!I7+'USN - Systems Workings'!I7</f>
        <v>1672500</v>
      </c>
      <c r="J101" s="176"/>
    </row>
    <row r="102" spans="2:19">
      <c r="D102" s="16" t="s">
        <v>649</v>
      </c>
      <c r="E102" s="16" t="s">
        <v>29</v>
      </c>
      <c r="G102" s="176">
        <f ca="1">'TPV - Process Workings'!G$7+'TPV - Systems Workings'!G$7</f>
        <v>7500</v>
      </c>
      <c r="H102" s="176">
        <f ca="1">'TPV - Process Workings'!H$7+'TPV - Systems Workings'!H$7</f>
        <v>512500</v>
      </c>
      <c r="I102" s="176">
        <f ca="1">'TPV - Process Workings'!I$7+'TPV - Systems Workings'!I$7</f>
        <v>1422500</v>
      </c>
      <c r="J102" s="176"/>
    </row>
    <row r="103" spans="2:19">
      <c r="D103" s="16" t="s">
        <v>509</v>
      </c>
      <c r="E103" s="16" t="s">
        <v>29</v>
      </c>
      <c r="G103" s="176">
        <f ca="1">'TPV2 - Process Workings'!G$7+'TPV2 - Systems Workings'!G$7</f>
        <v>7500</v>
      </c>
      <c r="H103" s="176">
        <f ca="1">'TPV2 - Process Workings'!H$7+'TPV2 - Systems Workings'!H$7</f>
        <v>512500</v>
      </c>
      <c r="I103" s="176">
        <f ca="1">'TPV2 - Process Workings'!I$7+'TPV2 - Systems Workings'!I$7</f>
        <v>1422500</v>
      </c>
      <c r="J103" s="176"/>
    </row>
    <row r="104" spans="2:19">
      <c r="D104" s="16" t="s">
        <v>650</v>
      </c>
      <c r="E104" s="16" t="s">
        <v>29</v>
      </c>
      <c r="G104" s="176">
        <f ca="1">'TPV3 - Process Workings'!G$7+'TPV3 - Systems Workings'!G$7</f>
        <v>5000</v>
      </c>
      <c r="H104" s="176">
        <f ca="1">'TPV3 - Process Workings'!H$7+'TPV3 - Systems Workings'!H$7</f>
        <v>460000</v>
      </c>
      <c r="I104" s="176">
        <f ca="1">'TPV3 - Process Workings'!I$7+'TPV3 - Systems Workings'!I$7</f>
        <v>1245000</v>
      </c>
      <c r="J104" s="176"/>
    </row>
    <row r="105" spans="2:19">
      <c r="D105" s="16" t="s">
        <v>17</v>
      </c>
      <c r="E105" s="16" t="s">
        <v>29</v>
      </c>
      <c r="G105" s="176">
        <f ca="1">'LPL - Process Workings'!G7+'LPL - Systems Workings'!G7</f>
        <v>1250</v>
      </c>
      <c r="H105" s="176">
        <f ca="1">'LPL - Process Workings'!H7+'LPL - Systems Workings'!H7</f>
        <v>250000</v>
      </c>
      <c r="I105" s="176">
        <f ca="1">'LPL - Process Workings'!I7+'LPL - Systems Workings'!I7</f>
        <v>567500</v>
      </c>
      <c r="J105" s="176"/>
    </row>
    <row r="107" spans="2:19">
      <c r="C107" s="16" t="s">
        <v>165</v>
      </c>
      <c r="G107" s="20" t="s">
        <v>228</v>
      </c>
      <c r="H107" s="20" t="s">
        <v>229</v>
      </c>
      <c r="I107" s="20" t="s">
        <v>230</v>
      </c>
      <c r="J107" s="20"/>
    </row>
    <row r="108" spans="2:19">
      <c r="D108" s="16" t="s">
        <v>15</v>
      </c>
      <c r="E108" s="16" t="s">
        <v>29</v>
      </c>
      <c r="G108" s="176">
        <f ca="1">'USN - Process Workings'!G8+'USN - Systems Workings'!G8</f>
        <v>2590.3444338182553</v>
      </c>
      <c r="H108" s="176">
        <f ca="1">'USN - Process Workings'!H8+'USN - Systems Workings'!H8</f>
        <v>129306.88867636511</v>
      </c>
      <c r="I108" s="176">
        <f ca="1">'USN - Process Workings'!I8+'USN - Systems Workings'!I8</f>
        <v>694292.95906669367</v>
      </c>
      <c r="J108" s="176"/>
    </row>
    <row r="109" spans="2:19">
      <c r="D109" s="16" t="s">
        <v>649</v>
      </c>
      <c r="E109" s="16" t="s">
        <v>29</v>
      </c>
      <c r="G109" s="176">
        <f ca="1">'TPV - Process Workings'!G$8+'TPV - Systems Workings'!G$8</f>
        <v>6134.1252704159288</v>
      </c>
      <c r="H109" s="176">
        <f ca="1">'TPV - Process Workings'!H$8+'TPV - Systems Workings'!H$8</f>
        <v>195182.50540831854</v>
      </c>
      <c r="I109" s="176">
        <f ca="1">'TPV - Process Workings'!I$8+'TPV - Systems Workings'!I$8</f>
        <v>1826924.5081191622</v>
      </c>
      <c r="J109" s="176"/>
    </row>
    <row r="110" spans="2:19">
      <c r="D110" s="16" t="s">
        <v>509</v>
      </c>
      <c r="E110" s="16" t="s">
        <v>29</v>
      </c>
      <c r="G110" s="176">
        <f ca="1">'TPV2 - Process Workings'!G$8+'TPV2 - Systems Workings'!G$8</f>
        <v>3907.0515559839191</v>
      </c>
      <c r="H110" s="176">
        <f ca="1">'TPV2 - Process Workings'!H$8+'TPV2 - Systems Workings'!H$8</f>
        <v>150641.03111967837</v>
      </c>
      <c r="I110" s="176">
        <f ca="1">'TPV2 - Process Workings'!I$8+'TPV2 - Systems Workings'!I$8</f>
        <v>1173649.551885773</v>
      </c>
      <c r="J110" s="176"/>
    </row>
    <row r="111" spans="2:19">
      <c r="D111" s="16" t="s">
        <v>650</v>
      </c>
      <c r="E111" s="16" t="s">
        <v>29</v>
      </c>
      <c r="G111" s="176">
        <f ca="1">'TPV3 - Process Workings'!G$8+'TPV3 - Systems Workings'!G$8</f>
        <v>39.027535908983282</v>
      </c>
      <c r="H111" s="176">
        <f ca="1">'TPV3 - Process Workings'!H$8+'TPV3 - Systems Workings'!H$8</f>
        <v>72780.550718179671</v>
      </c>
      <c r="I111" s="176">
        <f ca="1">'TPV3 - Process Workings'!I$8+'TPV3 - Systems Workings'!I$8</f>
        <v>-32885.256133364921</v>
      </c>
      <c r="J111" s="176"/>
    </row>
    <row r="112" spans="2:19">
      <c r="D112" s="16" t="s">
        <v>17</v>
      </c>
      <c r="E112" s="16" t="s">
        <v>29</v>
      </c>
      <c r="G112" s="176">
        <f ca="1">'LPL - Process Workings'!G8+'LPL - Systems Workings'!G8</f>
        <v>2269.9056363637892</v>
      </c>
      <c r="H112" s="176">
        <f ca="1">'LPL - Process Workings'!H8+'LPL - Systems Workings'!H8</f>
        <v>90398.112727275788</v>
      </c>
      <c r="I112" s="176">
        <f ca="1">'LPL - Process Workings'!I8+'LPL - Systems Workings'!I8</f>
        <v>854132.06666672276</v>
      </c>
      <c r="J112" s="176"/>
    </row>
    <row r="114" spans="3:10" s="16" customFormat="1">
      <c r="C114" s="16" t="s">
        <v>166</v>
      </c>
      <c r="G114" s="20" t="s">
        <v>50</v>
      </c>
      <c r="H114" s="20" t="s">
        <v>131</v>
      </c>
      <c r="I114" s="20" t="s">
        <v>23</v>
      </c>
      <c r="J114" s="20"/>
    </row>
    <row r="115" spans="3:10" s="16" customFormat="1">
      <c r="D115" s="16" t="s">
        <v>15</v>
      </c>
      <c r="E115" s="16" t="s">
        <v>29</v>
      </c>
      <c r="G115" s="176">
        <f ca="1">'USN - Central Costs'!G7</f>
        <v>1640000</v>
      </c>
      <c r="H115" s="176">
        <f ca="1">'USN - Central Costs'!H7</f>
        <v>1940000</v>
      </c>
      <c r="I115" s="176">
        <f ca="1">'USN - Central Costs'!I7</f>
        <v>2337500</v>
      </c>
      <c r="J115" s="176"/>
    </row>
    <row r="116" spans="3:10" s="16" customFormat="1">
      <c r="D116" s="16" t="s">
        <v>649</v>
      </c>
      <c r="E116" s="16" t="s">
        <v>29</v>
      </c>
      <c r="G116" s="176">
        <f ca="1">'TPV - Central Costs'!G$7</f>
        <v>1325000</v>
      </c>
      <c r="H116" s="176">
        <f ca="1">'TPV - Central Costs'!H$7</f>
        <v>1550000</v>
      </c>
      <c r="I116" s="176">
        <f ca="1">'TPV - Central Costs'!I$7</f>
        <v>1875000</v>
      </c>
      <c r="J116" s="176"/>
    </row>
    <row r="117" spans="3:10" s="16" customFormat="1">
      <c r="D117" s="16" t="s">
        <v>509</v>
      </c>
      <c r="E117" s="16" t="s">
        <v>29</v>
      </c>
      <c r="G117" s="176">
        <f ca="1">'TPV2 - Central Costs'!G$7</f>
        <v>1325000</v>
      </c>
      <c r="H117" s="176">
        <f ca="1">'TPV2 - Central Costs'!H$7</f>
        <v>1550000</v>
      </c>
      <c r="I117" s="176">
        <f ca="1">'TPV2 - Central Costs'!I$7</f>
        <v>1875000</v>
      </c>
      <c r="J117" s="176"/>
    </row>
    <row r="118" spans="3:10" s="16" customFormat="1">
      <c r="D118" s="16" t="s">
        <v>650</v>
      </c>
      <c r="E118" s="16" t="s">
        <v>29</v>
      </c>
      <c r="G118" s="176">
        <f ca="1">'TPV3 - Central Costs'!G$7</f>
        <v>1390000</v>
      </c>
      <c r="H118" s="176">
        <f ca="1">'TPV3 - Central Costs'!H$7</f>
        <v>1690000</v>
      </c>
      <c r="I118" s="176">
        <f ca="1">'TPV3 - Central Costs'!I$7</f>
        <v>2087500</v>
      </c>
      <c r="J118" s="176"/>
    </row>
    <row r="119" spans="3:10" s="16" customFormat="1">
      <c r="D119" s="16" t="s">
        <v>17</v>
      </c>
      <c r="E119" s="16" t="s">
        <v>29</v>
      </c>
      <c r="G119" s="176">
        <f ca="1">'LPL - Central Costs'!G7</f>
        <v>287500</v>
      </c>
      <c r="H119" s="176">
        <f ca="1">'LPL - Central Costs'!H7</f>
        <v>325000</v>
      </c>
      <c r="I119" s="176">
        <f ca="1">'LPL - Central Costs'!I7</f>
        <v>437500</v>
      </c>
      <c r="J119" s="176"/>
    </row>
    <row r="121" spans="3:10" s="16" customFormat="1">
      <c r="C121" s="16" t="s">
        <v>167</v>
      </c>
      <c r="G121" s="20" t="s">
        <v>50</v>
      </c>
      <c r="H121" s="20" t="s">
        <v>131</v>
      </c>
      <c r="I121" s="20" t="s">
        <v>23</v>
      </c>
      <c r="J121" s="20"/>
    </row>
    <row r="122" spans="3:10" s="16" customFormat="1">
      <c r="D122" s="16" t="s">
        <v>15</v>
      </c>
      <c r="E122" s="16" t="s">
        <v>29</v>
      </c>
      <c r="G122" s="176">
        <f ca="1">'USN - Central Costs'!G8</f>
        <v>772500</v>
      </c>
      <c r="H122" s="176">
        <f ca="1">'USN - Central Costs'!H8</f>
        <v>1055000</v>
      </c>
      <c r="I122" s="176">
        <f ca="1">'USN - Central Costs'!I8</f>
        <v>1587500</v>
      </c>
      <c r="J122" s="176"/>
    </row>
    <row r="123" spans="3:10" s="16" customFormat="1">
      <c r="D123" s="16" t="s">
        <v>649</v>
      </c>
      <c r="E123" s="16" t="s">
        <v>29</v>
      </c>
      <c r="G123" s="176">
        <f ca="1">'TPV - Central Costs'!G$8</f>
        <v>575000</v>
      </c>
      <c r="H123" s="176">
        <f ca="1">'TPV - Central Costs'!H$8</f>
        <v>890000</v>
      </c>
      <c r="I123" s="176">
        <f ca="1">'TPV - Central Costs'!I$8</f>
        <v>1185000</v>
      </c>
      <c r="J123" s="176"/>
    </row>
    <row r="124" spans="3:10" s="16" customFormat="1">
      <c r="D124" s="16" t="s">
        <v>509</v>
      </c>
      <c r="E124" s="16" t="s">
        <v>29</v>
      </c>
      <c r="G124" s="176">
        <f ca="1">'TPV2 - Central Costs'!G$8</f>
        <v>575000</v>
      </c>
      <c r="H124" s="176">
        <f ca="1">'TPV2 - Central Costs'!H$8</f>
        <v>890000</v>
      </c>
      <c r="I124" s="176">
        <f ca="1">'TPV2 - Central Costs'!I$8</f>
        <v>1185000</v>
      </c>
      <c r="J124" s="176"/>
    </row>
    <row r="125" spans="3:10" s="16" customFormat="1">
      <c r="D125" s="16" t="s">
        <v>650</v>
      </c>
      <c r="E125" s="16" t="s">
        <v>29</v>
      </c>
      <c r="G125" s="176">
        <f ca="1">'TPV3 - Central Costs'!G$8</f>
        <v>685000</v>
      </c>
      <c r="H125" s="176">
        <f ca="1">'TPV3 - Central Costs'!H$8</f>
        <v>1005000</v>
      </c>
      <c r="I125" s="176">
        <f ca="1">'TPV3 - Central Costs'!I$8</f>
        <v>1451250</v>
      </c>
      <c r="J125" s="176"/>
    </row>
    <row r="126" spans="3:10" s="16" customFormat="1">
      <c r="D126" s="16" t="s">
        <v>17</v>
      </c>
      <c r="E126" s="16" t="s">
        <v>29</v>
      </c>
      <c r="G126" s="176">
        <f ca="1">'LPL - Central Costs'!G8</f>
        <v>323750</v>
      </c>
      <c r="H126" s="176">
        <f ca="1">'LPL - Central Costs'!H8</f>
        <v>500000</v>
      </c>
      <c r="I126" s="176">
        <f ca="1">'LPL - Central Costs'!I8</f>
        <v>695000</v>
      </c>
      <c r="J126" s="176"/>
    </row>
  </sheetData>
  <dataValidations count="2">
    <dataValidation type="list" allowBlank="1" showInputMessage="1" showErrorMessage="1" sqref="D9">
      <formula1>$C$73:$C$75</formula1>
    </dataValidation>
    <dataValidation type="list" allowBlank="1" showInputMessage="1" showErrorMessage="1" sqref="D20">
      <formula1>$C$94:$C$96</formula1>
    </dataValidation>
  </dataValidations>
  <pageMargins left="0.7" right="0.7" top="0.75" bottom="0.75"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sheetPr codeName="Sheet22"/>
  <dimension ref="A2:X66"/>
  <sheetViews>
    <sheetView showGridLines="0" zoomScale="85" zoomScaleNormal="85" workbookViewId="0">
      <selection activeCell="F48" sqref="F48"/>
    </sheetView>
  </sheetViews>
  <sheetFormatPr defaultColWidth="9.140625" defaultRowHeight="12.75"/>
  <cols>
    <col min="1" max="3" width="9.140625" style="180"/>
    <col min="4" max="4" width="34.42578125" style="180" customWidth="1"/>
    <col min="5" max="5" width="15.7109375" style="180" customWidth="1"/>
    <col min="6" max="6" width="9.28515625" style="180" bestFit="1" customWidth="1"/>
    <col min="7" max="8" width="11.28515625" style="180" bestFit="1" customWidth="1"/>
    <col min="9" max="11" width="9.140625" style="180"/>
    <col min="12" max="17" width="9.140625" style="277"/>
    <col min="18" max="23" width="9.140625" style="180"/>
    <col min="24" max="24" width="50.7109375" style="182" customWidth="1"/>
    <col min="25" max="16384" width="9.140625" style="180"/>
  </cols>
  <sheetData>
    <row r="2" spans="2:24">
      <c r="B2" s="180" t="s">
        <v>0</v>
      </c>
      <c r="D2" s="181" t="str">
        <f ca="1">MID(CELL("filename",A1),FIND("]",CELL("filename",A1))+1,256)</f>
        <v>Cost-Template</v>
      </c>
      <c r="X2" s="180"/>
    </row>
    <row r="3" spans="2:24">
      <c r="B3" s="180" t="s">
        <v>1</v>
      </c>
      <c r="D3" s="180" t="s">
        <v>646</v>
      </c>
      <c r="X3" s="180"/>
    </row>
    <row r="4" spans="2:24">
      <c r="G4" s="180" t="s">
        <v>15</v>
      </c>
      <c r="J4" s="180" t="s">
        <v>649</v>
      </c>
      <c r="M4" s="277" t="s">
        <v>509</v>
      </c>
      <c r="P4" s="277" t="s">
        <v>650</v>
      </c>
      <c r="S4" s="180" t="s">
        <v>17</v>
      </c>
    </row>
    <row r="5" spans="2:24" s="156" customFormat="1">
      <c r="B5" s="156" t="s">
        <v>18</v>
      </c>
      <c r="D5" s="156" t="s">
        <v>19</v>
      </c>
      <c r="E5" s="156" t="s">
        <v>20</v>
      </c>
      <c r="F5" s="156" t="s">
        <v>228</v>
      </c>
      <c r="G5" s="156" t="s">
        <v>229</v>
      </c>
      <c r="H5" s="156" t="s">
        <v>230</v>
      </c>
      <c r="I5" s="156" t="s">
        <v>228</v>
      </c>
      <c r="J5" s="156" t="s">
        <v>229</v>
      </c>
      <c r="K5" s="156" t="s">
        <v>230</v>
      </c>
      <c r="L5" s="259" t="s">
        <v>228</v>
      </c>
      <c r="M5" s="259" t="s">
        <v>229</v>
      </c>
      <c r="N5" s="259" t="s">
        <v>230</v>
      </c>
      <c r="O5" s="259" t="s">
        <v>228</v>
      </c>
      <c r="P5" s="259" t="s">
        <v>229</v>
      </c>
      <c r="Q5" s="259" t="s">
        <v>230</v>
      </c>
      <c r="R5" s="156" t="s">
        <v>228</v>
      </c>
      <c r="S5" s="156" t="s">
        <v>229</v>
      </c>
      <c r="T5" s="156" t="s">
        <v>230</v>
      </c>
      <c r="X5" s="157"/>
    </row>
    <row r="6" spans="2:24">
      <c r="G6" s="158"/>
      <c r="H6" s="158"/>
      <c r="I6" s="158"/>
      <c r="J6" s="158"/>
      <c r="K6" s="158"/>
      <c r="L6" s="158"/>
      <c r="M6" s="158"/>
      <c r="N6" s="158"/>
      <c r="O6" s="158"/>
      <c r="P6" s="158"/>
      <c r="Q6" s="158"/>
      <c r="R6" s="158"/>
      <c r="S6" s="158"/>
      <c r="T6" s="158"/>
      <c r="U6" s="158"/>
      <c r="V6" s="158"/>
      <c r="W6" s="158"/>
      <c r="X6" s="159"/>
    </row>
    <row r="7" spans="2:24">
      <c r="B7" s="181"/>
    </row>
    <row r="8" spans="2:24">
      <c r="C8" s="181" t="s">
        <v>275</v>
      </c>
    </row>
    <row r="9" spans="2:24">
      <c r="C9" s="181"/>
      <c r="D9" s="180" t="s">
        <v>264</v>
      </c>
      <c r="E9" s="180" t="s">
        <v>263</v>
      </c>
    </row>
    <row r="10" spans="2:24">
      <c r="C10" s="181"/>
      <c r="D10" s="180" t="s">
        <v>265</v>
      </c>
      <c r="E10" s="180" t="s">
        <v>263</v>
      </c>
      <c r="F10" s="172">
        <f ca="1">'USN - Systems Workings'!G13</f>
        <v>0</v>
      </c>
      <c r="G10" s="172">
        <f ca="1">'USN - Systems Workings'!H13</f>
        <v>120000</v>
      </c>
      <c r="H10" s="172">
        <f ca="1">'USN - Systems Workings'!I13</f>
        <v>300000</v>
      </c>
      <c r="I10" s="172">
        <f ca="1">'TPV - Systems Workings'!$G13</f>
        <v>0</v>
      </c>
      <c r="J10" s="172">
        <f ca="1">'TPV - Systems Workings'!$H13</f>
        <v>95000</v>
      </c>
      <c r="K10" s="172">
        <f ca="1">'TPV - Systems Workings'!$I13</f>
        <v>250000</v>
      </c>
      <c r="L10" s="172">
        <f ca="1">'TPV2 - Systems Workings'!$G13</f>
        <v>0</v>
      </c>
      <c r="M10" s="172">
        <f ca="1">'TPV2 - Systems Workings'!$H13</f>
        <v>95000</v>
      </c>
      <c r="N10" s="172">
        <f ca="1">'TPV2 - Systems Workings'!$I13</f>
        <v>250000</v>
      </c>
      <c r="O10" s="172">
        <f ca="1">'TPV3 - Systems Workings'!$G13</f>
        <v>0</v>
      </c>
      <c r="P10" s="172">
        <f ca="1">'TPV3 - Systems Workings'!$H13</f>
        <v>95000</v>
      </c>
      <c r="Q10" s="172">
        <f ca="1">'TPV3 - Systems Workings'!$I13</f>
        <v>250000</v>
      </c>
      <c r="R10" s="172">
        <f>'LPL - Systems Workings'!G13</f>
        <v>0</v>
      </c>
      <c r="S10" s="172">
        <f>'LPL - Systems Workings'!H13</f>
        <v>0</v>
      </c>
      <c r="T10" s="172">
        <f>'LPL - Systems Workings'!I13</f>
        <v>0</v>
      </c>
      <c r="U10" s="162"/>
      <c r="V10" s="162"/>
    </row>
    <row r="11" spans="2:24">
      <c r="C11" s="181"/>
      <c r="D11" s="180" t="s">
        <v>266</v>
      </c>
      <c r="E11" s="180" t="s">
        <v>263</v>
      </c>
      <c r="F11" s="172">
        <f ca="1">'USN - Systems Workings'!G71</f>
        <v>0</v>
      </c>
      <c r="G11" s="172">
        <f ca="1">'USN - Systems Workings'!H71</f>
        <v>0</v>
      </c>
      <c r="H11" s="172">
        <f ca="1">'USN - Systems Workings'!I71</f>
        <v>0</v>
      </c>
      <c r="I11" s="172">
        <f ca="1">'TPV - Systems Workings'!$G71</f>
        <v>0</v>
      </c>
      <c r="J11" s="172">
        <f ca="1">'TPV - Systems Workings'!$H71</f>
        <v>0</v>
      </c>
      <c r="K11" s="172">
        <f ca="1">'TPV - Systems Workings'!$I71</f>
        <v>0</v>
      </c>
      <c r="L11" s="172">
        <f ca="1">'TPV2 - Systems Workings'!$G71</f>
        <v>0</v>
      </c>
      <c r="M11" s="172">
        <f ca="1">'TPV2 - Systems Workings'!$H71</f>
        <v>0</v>
      </c>
      <c r="N11" s="172">
        <f ca="1">'TPV2 - Systems Workings'!$I71</f>
        <v>0</v>
      </c>
      <c r="O11" s="172">
        <f ca="1">'TPV3 - Systems Workings'!$G71</f>
        <v>0</v>
      </c>
      <c r="P11" s="172">
        <f ca="1">'TPV3 - Systems Workings'!$H71</f>
        <v>0</v>
      </c>
      <c r="Q11" s="172">
        <f ca="1">'TPV3 - Systems Workings'!$I71</f>
        <v>0</v>
      </c>
      <c r="R11" s="172">
        <f ca="1">'LPL - Systems Workings'!G71</f>
        <v>0</v>
      </c>
      <c r="S11" s="172">
        <f ca="1">'LPL - Systems Workings'!H71</f>
        <v>0</v>
      </c>
      <c r="T11" s="172">
        <f ca="1">'LPL - Systems Workings'!I71</f>
        <v>0</v>
      </c>
      <c r="U11" s="162"/>
      <c r="V11" s="162"/>
    </row>
    <row r="12" spans="2:24">
      <c r="C12" s="181"/>
      <c r="D12" s="180" t="s">
        <v>267</v>
      </c>
      <c r="E12" s="180" t="s">
        <v>263</v>
      </c>
      <c r="F12" s="172">
        <f ca="1">'USN - Systems Workings'!G26+'USN - Systems Workings'!G53</f>
        <v>0</v>
      </c>
      <c r="G12" s="172">
        <f ca="1">'USN - Systems Workings'!H26+'USN - Systems Workings'!H53</f>
        <v>135000</v>
      </c>
      <c r="H12" s="172">
        <f ca="1">'USN - Systems Workings'!I26+'USN - Systems Workings'!I53</f>
        <v>275000</v>
      </c>
      <c r="I12" s="172">
        <f ca="1">'TPV - Systems Workings'!$G26+'TPV - Systems Workings'!$G53</f>
        <v>0</v>
      </c>
      <c r="J12" s="172">
        <f ca="1">'TPV - Systems Workings'!$H26+'TPV - Systems Workings'!$H53</f>
        <v>135000</v>
      </c>
      <c r="K12" s="172">
        <f ca="1">'TPV - Systems Workings'!$I26+'TPV - Systems Workings'!$I53</f>
        <v>275000</v>
      </c>
      <c r="L12" s="172">
        <f ca="1">'TPV2 - Systems Workings'!$G26+'TPV2 - Systems Workings'!$G53</f>
        <v>0</v>
      </c>
      <c r="M12" s="172">
        <f ca="1">'TPV2 - Systems Workings'!$H26+'TPV2 - Systems Workings'!$H53</f>
        <v>135000</v>
      </c>
      <c r="N12" s="172">
        <f ca="1">'TPV2 - Systems Workings'!$I26+'TPV2 - Systems Workings'!$I53</f>
        <v>275000</v>
      </c>
      <c r="O12" s="172">
        <f ca="1">'TPV3 - Systems Workings'!$G26+'TPV3 - Systems Workings'!$G53</f>
        <v>0</v>
      </c>
      <c r="P12" s="172">
        <f ca="1">'TPV3 - Systems Workings'!$H26+'TPV3 - Systems Workings'!$H53</f>
        <v>135000</v>
      </c>
      <c r="Q12" s="172">
        <f ca="1">'TPV3 - Systems Workings'!$I26+'TPV3 - Systems Workings'!$I53</f>
        <v>275000</v>
      </c>
      <c r="R12" s="172">
        <f ca="1">'LPL - Systems Workings'!G26+'LPL - Systems Workings'!G53</f>
        <v>0</v>
      </c>
      <c r="S12" s="172">
        <f ca="1">'LPL - Systems Workings'!H26+'LPL - Systems Workings'!H53</f>
        <v>125000</v>
      </c>
      <c r="T12" s="172">
        <f ca="1">'LPL - Systems Workings'!I26+'LPL - Systems Workings'!I53</f>
        <v>220000</v>
      </c>
      <c r="U12" s="162"/>
      <c r="V12" s="162"/>
    </row>
    <row r="13" spans="2:24">
      <c r="C13" s="181"/>
      <c r="D13" s="180" t="s">
        <v>268</v>
      </c>
      <c r="E13" s="180" t="s">
        <v>263</v>
      </c>
      <c r="F13" s="172">
        <f ca="1">'USN - Systems Workings'!G80</f>
        <v>0</v>
      </c>
      <c r="G13" s="172">
        <f ca="1">'USN - Systems Workings'!H80</f>
        <v>30000</v>
      </c>
      <c r="H13" s="172">
        <f ca="1">'USN - Systems Workings'!I80</f>
        <v>60000</v>
      </c>
      <c r="I13" s="172">
        <f ca="1">'USN - Systems Workings'!$G80</f>
        <v>0</v>
      </c>
      <c r="J13" s="172">
        <f ca="1">'USN - Systems Workings'!$H80</f>
        <v>30000</v>
      </c>
      <c r="K13" s="172">
        <f ca="1">'USN - Systems Workings'!$I80</f>
        <v>60000</v>
      </c>
      <c r="L13" s="172">
        <f ca="1">'USN - Systems Workings'!$G80</f>
        <v>0</v>
      </c>
      <c r="M13" s="172">
        <f ca="1">'USN - Systems Workings'!$H80</f>
        <v>30000</v>
      </c>
      <c r="N13" s="172">
        <f ca="1">'USN - Systems Workings'!$I80</f>
        <v>60000</v>
      </c>
      <c r="O13" s="172">
        <f ca="1">'USN - Systems Workings'!$G80</f>
        <v>0</v>
      </c>
      <c r="P13" s="172">
        <f ca="1">'USN - Systems Workings'!$H80</f>
        <v>30000</v>
      </c>
      <c r="Q13" s="172">
        <f ca="1">'USN - Systems Workings'!$I80</f>
        <v>60000</v>
      </c>
      <c r="R13" s="172">
        <f ca="1">'LPL - Systems Workings'!G80</f>
        <v>0</v>
      </c>
      <c r="S13" s="172">
        <f ca="1">'LPL - Systems Workings'!H80</f>
        <v>30000</v>
      </c>
      <c r="T13" s="172">
        <f ca="1">'LPL - Systems Workings'!I80</f>
        <v>60000</v>
      </c>
      <c r="U13" s="162"/>
      <c r="V13" s="162"/>
    </row>
    <row r="14" spans="2:24">
      <c r="D14" s="180" t="s">
        <v>269</v>
      </c>
      <c r="E14" s="180" t="s">
        <v>263</v>
      </c>
      <c r="F14" s="172"/>
      <c r="G14" s="214"/>
      <c r="H14" s="214"/>
      <c r="I14" s="172"/>
      <c r="J14" s="172"/>
      <c r="K14" s="172"/>
      <c r="L14" s="172"/>
      <c r="M14" s="172"/>
      <c r="N14" s="172"/>
      <c r="O14" s="172"/>
      <c r="P14" s="172"/>
      <c r="Q14" s="172"/>
      <c r="R14" s="172"/>
      <c r="S14" s="172"/>
      <c r="T14" s="172"/>
      <c r="U14" s="163"/>
      <c r="V14" s="163"/>
      <c r="X14" s="164"/>
    </row>
    <row r="15" spans="2:24">
      <c r="D15" s="180" t="s">
        <v>270</v>
      </c>
      <c r="E15" s="180" t="s">
        <v>263</v>
      </c>
      <c r="F15" s="172"/>
      <c r="G15" s="215"/>
      <c r="H15" s="215"/>
      <c r="I15" s="172"/>
      <c r="J15" s="172"/>
      <c r="K15" s="172"/>
      <c r="L15" s="172"/>
      <c r="M15" s="172"/>
      <c r="N15" s="172"/>
      <c r="O15" s="172"/>
      <c r="P15" s="172"/>
      <c r="Q15" s="172"/>
      <c r="R15" s="172"/>
      <c r="S15" s="172"/>
      <c r="T15" s="172"/>
      <c r="U15" s="165"/>
      <c r="V15" s="165"/>
    </row>
    <row r="16" spans="2:24" s="166" customFormat="1">
      <c r="D16" s="180" t="s">
        <v>30</v>
      </c>
      <c r="E16" s="180" t="s">
        <v>263</v>
      </c>
      <c r="F16" s="172">
        <f>'USN - Systems Workings'!G20</f>
        <v>0</v>
      </c>
      <c r="G16" s="172">
        <f>'USN - Systems Workings'!H20</f>
        <v>50000</v>
      </c>
      <c r="H16" s="172">
        <f>'USN - Systems Workings'!I20</f>
        <v>200000</v>
      </c>
      <c r="I16" s="172">
        <f>'TPV - Systems Workings'!$G20</f>
        <v>0</v>
      </c>
      <c r="J16" s="172">
        <f>'TPV - Systems Workings'!$H20</f>
        <v>0</v>
      </c>
      <c r="K16" s="172">
        <f>'TPV - Systems Workings'!$I20</f>
        <v>0</v>
      </c>
      <c r="L16" s="172">
        <f>'TPV2 - Systems Workings'!$G20</f>
        <v>0</v>
      </c>
      <c r="M16" s="172">
        <f>'TPV2 - Systems Workings'!$H20</f>
        <v>0</v>
      </c>
      <c r="N16" s="172">
        <f>'TPV2 - Systems Workings'!$I20</f>
        <v>0</v>
      </c>
      <c r="O16" s="172">
        <f>'TPV3 - Systems Workings'!$G20</f>
        <v>0</v>
      </c>
      <c r="P16" s="172">
        <f>'TPV3 - Systems Workings'!$H20</f>
        <v>0</v>
      </c>
      <c r="Q16" s="172">
        <f>'TPV3 - Systems Workings'!$I20</f>
        <v>0</v>
      </c>
      <c r="R16" s="172">
        <f>'LPL - Systems Workings'!G20</f>
        <v>0</v>
      </c>
      <c r="S16" s="172">
        <f>'LPL - Systems Workings'!H20</f>
        <v>0</v>
      </c>
      <c r="T16" s="172">
        <f>'LPL - Systems Workings'!I20</f>
        <v>0</v>
      </c>
      <c r="U16" s="165"/>
      <c r="V16" s="165"/>
      <c r="W16" s="180"/>
      <c r="X16" s="182"/>
    </row>
    <row r="17" spans="1:22">
      <c r="A17" s="167"/>
      <c r="B17" s="167"/>
      <c r="D17" s="180" t="s">
        <v>271</v>
      </c>
      <c r="E17" s="180" t="s">
        <v>263</v>
      </c>
      <c r="F17" s="172"/>
      <c r="G17" s="215"/>
      <c r="H17" s="215"/>
      <c r="I17" s="172"/>
      <c r="J17" s="172"/>
      <c r="K17" s="172"/>
      <c r="L17" s="172"/>
      <c r="M17" s="172"/>
      <c r="N17" s="172"/>
      <c r="O17" s="172"/>
      <c r="P17" s="172"/>
      <c r="Q17" s="172"/>
      <c r="R17" s="172"/>
      <c r="S17" s="172"/>
      <c r="T17" s="172"/>
      <c r="U17" s="168"/>
      <c r="V17" s="168"/>
    </row>
    <row r="18" spans="1:22">
      <c r="A18" s="167"/>
      <c r="B18" s="167"/>
      <c r="D18" s="180" t="s">
        <v>272</v>
      </c>
      <c r="E18" s="180" t="s">
        <v>263</v>
      </c>
      <c r="F18" s="172">
        <f ca="1">'USN - Systems Workings'!G35+'USN - Systems Workings'!G62</f>
        <v>0</v>
      </c>
      <c r="G18" s="172">
        <f ca="1">'USN - Systems Workings'!H35+'USN - Systems Workings'!H62</f>
        <v>50000</v>
      </c>
      <c r="H18" s="172">
        <f ca="1">'USN - Systems Workings'!I35+'USN - Systems Workings'!I62</f>
        <v>220000</v>
      </c>
      <c r="I18" s="172">
        <f ca="1">'TPV - Systems Workings'!$G35+'TPV - Systems Workings'!$G62</f>
        <v>0</v>
      </c>
      <c r="J18" s="172">
        <f ca="1">'TPV - Systems Workings'!$H35+'TPV - Systems Workings'!$H62</f>
        <v>50000</v>
      </c>
      <c r="K18" s="172">
        <f ca="1">'TPV - Systems Workings'!$I35+'TPV - Systems Workings'!$I62</f>
        <v>220000</v>
      </c>
      <c r="L18" s="172">
        <f ca="1">'TPV2 - Systems Workings'!$G35+'TPV2 - Systems Workings'!$G62</f>
        <v>0</v>
      </c>
      <c r="M18" s="172">
        <f ca="1">'TPV2 - Systems Workings'!$H35+'TPV2 - Systems Workings'!$H62</f>
        <v>50000</v>
      </c>
      <c r="N18" s="172">
        <f ca="1">'TPV2 - Systems Workings'!$I35+'TPV2 - Systems Workings'!$I62</f>
        <v>220000</v>
      </c>
      <c r="O18" s="172">
        <f ca="1">'TPV3 - Systems Workings'!$G35+'TPV3 - Systems Workings'!$G62</f>
        <v>0</v>
      </c>
      <c r="P18" s="172">
        <f ca="1">'TPV3 - Systems Workings'!$H35+'TPV3 - Systems Workings'!$H62</f>
        <v>50000</v>
      </c>
      <c r="Q18" s="172">
        <f ca="1">'TPV3 - Systems Workings'!$I35+'TPV3 - Systems Workings'!$I62</f>
        <v>220000</v>
      </c>
      <c r="R18" s="172">
        <f ca="1">'LPL - Systems Workings'!G35+'LPL - Systems Workings'!G62</f>
        <v>0</v>
      </c>
      <c r="S18" s="172">
        <f ca="1">'LPL - Systems Workings'!H35+'LPL - Systems Workings'!H62</f>
        <v>30000</v>
      </c>
      <c r="T18" s="172">
        <f ca="1">'LPL - Systems Workings'!I35+'LPL - Systems Workings'!I62</f>
        <v>120000</v>
      </c>
      <c r="U18" s="169"/>
      <c r="V18" s="169"/>
    </row>
    <row r="19" spans="1:22">
      <c r="A19" s="167"/>
      <c r="B19" s="167"/>
      <c r="D19" s="180" t="s">
        <v>273</v>
      </c>
      <c r="E19" s="180" t="s">
        <v>263</v>
      </c>
      <c r="F19" s="172">
        <f ca="1">'USN - Systems Workings'!G44</f>
        <v>0</v>
      </c>
      <c r="G19" s="172">
        <f ca="1">'USN - Systems Workings'!H44</f>
        <v>35000</v>
      </c>
      <c r="H19" s="172">
        <f ca="1">'USN - Systems Workings'!I44</f>
        <v>75000</v>
      </c>
      <c r="I19" s="172">
        <f ca="1">'TPV - Systems Workings'!$G44</f>
        <v>0</v>
      </c>
      <c r="J19" s="172">
        <f ca="1">'TPV - Systems Workings'!$H44</f>
        <v>35000</v>
      </c>
      <c r="K19" s="172">
        <f ca="1">'TPV - Systems Workings'!$I44</f>
        <v>75000</v>
      </c>
      <c r="L19" s="172">
        <f ca="1">'TPV2 - Systems Workings'!$G44</f>
        <v>0</v>
      </c>
      <c r="M19" s="172">
        <f ca="1">'TPV2 - Systems Workings'!$H44</f>
        <v>35000</v>
      </c>
      <c r="N19" s="172">
        <f ca="1">'TPV2 - Systems Workings'!$I44</f>
        <v>75000</v>
      </c>
      <c r="O19" s="172">
        <f ca="1">'TPV3 - Systems Workings'!$G44</f>
        <v>0</v>
      </c>
      <c r="P19" s="172">
        <f ca="1">'TPV3 - Systems Workings'!$H44</f>
        <v>35000</v>
      </c>
      <c r="Q19" s="172">
        <f ca="1">'TPV3 - Systems Workings'!$I44</f>
        <v>75000</v>
      </c>
      <c r="R19" s="172">
        <f ca="1">'LPL - Systems Workings'!G44</f>
        <v>0</v>
      </c>
      <c r="S19" s="172">
        <f ca="1">'LPL - Systems Workings'!H44</f>
        <v>35000</v>
      </c>
      <c r="T19" s="172">
        <f ca="1">'LPL - Systems Workings'!I44</f>
        <v>75000</v>
      </c>
      <c r="U19" s="170"/>
      <c r="V19" s="170"/>
    </row>
    <row r="20" spans="1:22">
      <c r="A20" s="167"/>
      <c r="B20" s="167"/>
      <c r="F20" s="172"/>
      <c r="G20" s="172"/>
      <c r="H20" s="172"/>
      <c r="I20" s="172"/>
      <c r="J20" s="172"/>
      <c r="K20" s="172"/>
      <c r="L20" s="172"/>
      <c r="M20" s="172"/>
      <c r="N20" s="172"/>
      <c r="O20" s="172"/>
      <c r="P20" s="172"/>
      <c r="Q20" s="172"/>
      <c r="R20" s="172"/>
      <c r="S20" s="172"/>
      <c r="T20" s="172"/>
      <c r="U20" s="170"/>
      <c r="V20" s="170"/>
    </row>
    <row r="21" spans="1:22">
      <c r="F21" s="172"/>
      <c r="G21" s="172"/>
      <c r="H21" s="172"/>
      <c r="I21" s="172"/>
      <c r="J21" s="172"/>
      <c r="K21" s="172"/>
      <c r="L21" s="172"/>
      <c r="M21" s="172"/>
      <c r="N21" s="172"/>
      <c r="O21" s="172"/>
      <c r="P21" s="172"/>
      <c r="Q21" s="172"/>
      <c r="R21" s="172"/>
      <c r="S21" s="172"/>
      <c r="T21" s="172"/>
    </row>
    <row r="22" spans="1:22">
      <c r="C22" s="181" t="s">
        <v>290</v>
      </c>
      <c r="F22" s="172"/>
      <c r="G22" s="172"/>
      <c r="H22" s="172"/>
      <c r="I22" s="172"/>
      <c r="J22" s="172"/>
      <c r="K22" s="172"/>
      <c r="L22" s="172"/>
      <c r="M22" s="172"/>
      <c r="N22" s="172"/>
      <c r="O22" s="172"/>
      <c r="P22" s="172"/>
      <c r="Q22" s="172"/>
      <c r="R22" s="172"/>
      <c r="S22" s="172"/>
      <c r="T22" s="172"/>
    </row>
    <row r="23" spans="1:22">
      <c r="D23" s="180" t="s">
        <v>276</v>
      </c>
      <c r="E23" s="180" t="s">
        <v>263</v>
      </c>
      <c r="F23" s="172"/>
      <c r="G23" s="172"/>
      <c r="H23" s="172"/>
      <c r="I23" s="172"/>
      <c r="J23" s="172"/>
      <c r="K23" s="172"/>
      <c r="L23" s="172"/>
      <c r="M23" s="172"/>
      <c r="N23" s="172"/>
      <c r="O23" s="172"/>
      <c r="P23" s="172"/>
      <c r="Q23" s="172"/>
      <c r="R23" s="172"/>
      <c r="S23" s="172"/>
      <c r="T23" s="172"/>
    </row>
    <row r="24" spans="1:22">
      <c r="D24" s="180" t="s">
        <v>277</v>
      </c>
      <c r="E24" s="180" t="s">
        <v>263</v>
      </c>
      <c r="F24" s="171"/>
      <c r="G24" s="171"/>
      <c r="H24" s="172"/>
      <c r="I24" s="171"/>
      <c r="J24" s="171"/>
      <c r="K24" s="171"/>
      <c r="L24" s="171"/>
      <c r="M24" s="171"/>
      <c r="N24" s="171"/>
      <c r="O24" s="171"/>
      <c r="P24" s="171"/>
      <c r="Q24" s="171"/>
      <c r="R24" s="171"/>
      <c r="S24" s="171"/>
      <c r="T24" s="171"/>
    </row>
    <row r="25" spans="1:22">
      <c r="D25" s="180" t="s">
        <v>278</v>
      </c>
      <c r="E25" s="180" t="s">
        <v>263</v>
      </c>
      <c r="F25" s="172"/>
      <c r="G25" s="172"/>
      <c r="H25" s="172"/>
      <c r="I25" s="172"/>
      <c r="J25" s="172"/>
      <c r="K25" s="172"/>
      <c r="L25" s="172"/>
      <c r="M25" s="172"/>
      <c r="N25" s="172"/>
      <c r="O25" s="172"/>
      <c r="P25" s="172"/>
      <c r="Q25" s="172"/>
      <c r="R25" s="172"/>
      <c r="S25" s="172"/>
      <c r="T25" s="172"/>
    </row>
    <row r="26" spans="1:22">
      <c r="D26" s="180" t="s">
        <v>279</v>
      </c>
      <c r="E26" s="180" t="s">
        <v>263</v>
      </c>
      <c r="F26" s="172">
        <f ca="1">'USN - Process Workings'!G14+'USN - Process Workings'!G25</f>
        <v>7500</v>
      </c>
      <c r="G26" s="172">
        <f ca="1">'USN - Process Workings'!H14+'USN - Process Workings'!H25</f>
        <v>167500</v>
      </c>
      <c r="H26" s="172">
        <f ca="1">'USN - Process Workings'!I14+'USN - Process Workings'!I25</f>
        <v>542500</v>
      </c>
      <c r="I26" s="172">
        <f ca="1">'TPV - Process Workings'!$G15+'TPV - Process Workings'!$G27</f>
        <v>7500</v>
      </c>
      <c r="J26" s="172">
        <f ca="1">'TPV - Process Workings'!$H15+'TPV - Process Workings'!$H27</f>
        <v>167500</v>
      </c>
      <c r="K26" s="172">
        <f ca="1">'TPV - Process Workings'!$I15+'TPV - Process Workings'!$I27</f>
        <v>542500</v>
      </c>
      <c r="L26" s="172">
        <f ca="1">'TPV2 - Process Workings'!$G15+'TPV2 - Process Workings'!$G27</f>
        <v>7500</v>
      </c>
      <c r="M26" s="172">
        <f ca="1">'TPV2 - Process Workings'!$H15+'TPV2 - Process Workings'!$H27</f>
        <v>167500</v>
      </c>
      <c r="N26" s="172">
        <f ca="1">'TPV2 - Process Workings'!$I15+'TPV2 - Process Workings'!$I27</f>
        <v>542500</v>
      </c>
      <c r="O26" s="172">
        <f ca="1">'TPV3 - Process Workings'!$G15+'TPV3 - Process Workings'!$G27</f>
        <v>5000</v>
      </c>
      <c r="P26" s="172">
        <f ca="1">'TPV3 - Process Workings'!$H15+'TPV3 - Process Workings'!$H27</f>
        <v>115000</v>
      </c>
      <c r="Q26" s="172">
        <f ca="1">'TPV3 - Process Workings'!$I15+'TPV3 - Process Workings'!$I27</f>
        <v>365000</v>
      </c>
      <c r="R26" s="172">
        <f ca="1">'LPL - Process Workings'!G14+'LPL - Process Workings'!G26</f>
        <v>1250</v>
      </c>
      <c r="S26" s="172">
        <f ca="1">'LPL - Process Workings'!H14+'LPL - Process Workings'!H26</f>
        <v>30000</v>
      </c>
      <c r="T26" s="172">
        <f ca="1">'LPL - Process Workings'!I14+'LPL - Process Workings'!I26</f>
        <v>92500</v>
      </c>
    </row>
    <row r="27" spans="1:22">
      <c r="D27" s="180" t="s">
        <v>280</v>
      </c>
      <c r="E27" s="180" t="s">
        <v>263</v>
      </c>
      <c r="F27" s="172"/>
      <c r="G27" s="172"/>
      <c r="H27" s="172"/>
      <c r="I27" s="172"/>
      <c r="J27" s="172"/>
      <c r="K27" s="172"/>
      <c r="L27" s="172"/>
      <c r="M27" s="172"/>
      <c r="N27" s="172"/>
      <c r="O27" s="172"/>
      <c r="P27" s="172"/>
      <c r="Q27" s="172"/>
      <c r="R27" s="172"/>
      <c r="S27" s="172"/>
      <c r="T27" s="172"/>
    </row>
    <row r="28" spans="1:22">
      <c r="D28" s="180" t="s">
        <v>281</v>
      </c>
      <c r="E28" s="180" t="s">
        <v>263</v>
      </c>
    </row>
    <row r="29" spans="1:22">
      <c r="D29" s="180" t="s">
        <v>282</v>
      </c>
      <c r="E29" s="180" t="s">
        <v>263</v>
      </c>
    </row>
    <row r="30" spans="1:22">
      <c r="D30" s="180" t="s">
        <v>283</v>
      </c>
      <c r="E30" s="180" t="s">
        <v>263</v>
      </c>
    </row>
    <row r="31" spans="1:22">
      <c r="D31" s="180" t="s">
        <v>284</v>
      </c>
      <c r="E31" s="180" t="s">
        <v>263</v>
      </c>
    </row>
    <row r="32" spans="1:22">
      <c r="D32" s="180" t="s">
        <v>285</v>
      </c>
      <c r="E32" s="180" t="s">
        <v>263</v>
      </c>
    </row>
    <row r="33" spans="3:20">
      <c r="D33" s="180" t="s">
        <v>286</v>
      </c>
      <c r="E33" s="180" t="s">
        <v>263</v>
      </c>
    </row>
    <row r="34" spans="3:20">
      <c r="D34" s="180" t="s">
        <v>287</v>
      </c>
    </row>
    <row r="35" spans="3:20">
      <c r="D35" s="180" t="s">
        <v>288</v>
      </c>
    </row>
    <row r="36" spans="3:20">
      <c r="F36" s="172"/>
      <c r="G36" s="172"/>
      <c r="H36" s="172"/>
      <c r="I36" s="172"/>
      <c r="J36" s="172"/>
      <c r="K36" s="172"/>
      <c r="L36" s="172"/>
      <c r="M36" s="172"/>
      <c r="N36" s="172"/>
      <c r="O36" s="172"/>
      <c r="P36" s="172"/>
      <c r="Q36" s="172"/>
      <c r="R36" s="172"/>
      <c r="S36" s="172"/>
      <c r="T36" s="172"/>
    </row>
    <row r="38" spans="3:20">
      <c r="C38" s="181" t="s">
        <v>274</v>
      </c>
    </row>
    <row r="39" spans="3:20">
      <c r="C39" s="181"/>
      <c r="D39" s="180" t="s">
        <v>264</v>
      </c>
      <c r="E39" s="180" t="s">
        <v>263</v>
      </c>
    </row>
    <row r="40" spans="3:20">
      <c r="C40" s="181"/>
      <c r="D40" s="180" t="s">
        <v>265</v>
      </c>
      <c r="E40" s="180" t="s">
        <v>263</v>
      </c>
      <c r="F40" s="172">
        <f ca="1">'USN - Systems Workings'!G16</f>
        <v>0</v>
      </c>
      <c r="G40" s="172">
        <f ca="1">'USN - Systems Workings'!H16</f>
        <v>24000</v>
      </c>
      <c r="H40" s="172">
        <f ca="1">'USN - Systems Workings'!I16</f>
        <v>60000</v>
      </c>
      <c r="I40" s="172">
        <f ca="1">'TPV - Systems Workings'!$G16</f>
        <v>0</v>
      </c>
      <c r="J40" s="172">
        <f ca="1">'TPV - Systems Workings'!$H16</f>
        <v>19000</v>
      </c>
      <c r="K40" s="172">
        <f ca="1">'TPV - Systems Workings'!$I16</f>
        <v>50000</v>
      </c>
      <c r="L40" s="172">
        <f ca="1">'TPV2 - Systems Workings'!$G16</f>
        <v>0</v>
      </c>
      <c r="M40" s="172">
        <f ca="1">'TPV2 - Systems Workings'!$H16</f>
        <v>19000</v>
      </c>
      <c r="N40" s="172">
        <f ca="1">'TPV2 - Systems Workings'!$I16</f>
        <v>50000</v>
      </c>
      <c r="O40" s="172">
        <f ca="1">'TPV3 - Systems Workings'!$G16</f>
        <v>0</v>
      </c>
      <c r="P40" s="172">
        <f ca="1">'TPV3 - Systems Workings'!$H16</f>
        <v>19000</v>
      </c>
      <c r="Q40" s="172">
        <f ca="1">'TPV3 - Systems Workings'!$I16</f>
        <v>50000</v>
      </c>
      <c r="R40" s="172">
        <f>'LPL - Systems Workings'!G16</f>
        <v>0</v>
      </c>
      <c r="S40" s="172">
        <f>'LPL - Systems Workings'!H16</f>
        <v>0</v>
      </c>
      <c r="T40" s="172">
        <f>'LPL - Systems Workings'!I16</f>
        <v>0</v>
      </c>
    </row>
    <row r="41" spans="3:20">
      <c r="C41" s="181"/>
      <c r="D41" s="180" t="s">
        <v>266</v>
      </c>
      <c r="E41" s="180" t="s">
        <v>263</v>
      </c>
      <c r="F41" s="172">
        <f ca="1">'USN - Systems Workings'!G74</f>
        <v>0</v>
      </c>
      <c r="G41" s="172">
        <f ca="1">'USN - Systems Workings'!H74</f>
        <v>0</v>
      </c>
      <c r="H41" s="172">
        <f ca="1">'USN - Systems Workings'!I74</f>
        <v>0</v>
      </c>
      <c r="I41" s="172">
        <f ca="1">'TPV - Systems Workings'!$G74</f>
        <v>0</v>
      </c>
      <c r="J41" s="172">
        <f ca="1">'TPV - Systems Workings'!$H74</f>
        <v>0</v>
      </c>
      <c r="K41" s="172">
        <f ca="1">'TPV - Systems Workings'!$I74</f>
        <v>0</v>
      </c>
      <c r="L41" s="172">
        <f ca="1">'TPV2 - Systems Workings'!$G74</f>
        <v>0</v>
      </c>
      <c r="M41" s="172">
        <f ca="1">'TPV2 - Systems Workings'!$H74</f>
        <v>0</v>
      </c>
      <c r="N41" s="172">
        <f ca="1">'TPV2 - Systems Workings'!$I74</f>
        <v>0</v>
      </c>
      <c r="O41" s="172">
        <f ca="1">'TPV3 - Systems Workings'!$G74</f>
        <v>0</v>
      </c>
      <c r="P41" s="172">
        <f ca="1">'TPV3 - Systems Workings'!$H74</f>
        <v>0</v>
      </c>
      <c r="Q41" s="172">
        <f ca="1">'TPV3 - Systems Workings'!$I74</f>
        <v>0</v>
      </c>
      <c r="R41" s="172">
        <f ca="1">'LPL - Systems Workings'!G74</f>
        <v>0</v>
      </c>
      <c r="S41" s="172">
        <f ca="1">'LPL - Systems Workings'!H74</f>
        <v>0</v>
      </c>
      <c r="T41" s="172">
        <f ca="1">'LPL - Systems Workings'!I74</f>
        <v>0</v>
      </c>
    </row>
    <row r="42" spans="3:20">
      <c r="C42" s="181"/>
      <c r="D42" s="180" t="s">
        <v>267</v>
      </c>
      <c r="E42" s="180" t="s">
        <v>263</v>
      </c>
      <c r="F42" s="172">
        <f ca="1">'USN - Systems Workings'!G29+'USN - Systems Workings'!G56</f>
        <v>0</v>
      </c>
      <c r="G42" s="172">
        <f ca="1">'USN - Systems Workings'!H29+'USN - Systems Workings'!H56</f>
        <v>27000</v>
      </c>
      <c r="H42" s="172">
        <f ca="1">'USN - Systems Workings'!I29+'USN - Systems Workings'!I56</f>
        <v>55000</v>
      </c>
      <c r="I42" s="172">
        <f ca="1">'TPV - Systems Workings'!$G29+'TPV - Systems Workings'!$G56</f>
        <v>0</v>
      </c>
      <c r="J42" s="172">
        <f ca="1">'TPV - Systems Workings'!$H29+'TPV - Systems Workings'!$H56</f>
        <v>27000</v>
      </c>
      <c r="K42" s="172">
        <f ca="1">'TPV - Systems Workings'!$I29+'TPV - Systems Workings'!$I56</f>
        <v>55000</v>
      </c>
      <c r="L42" s="172">
        <f ca="1">'TPV2 - Systems Workings'!$G29+'TPV2 - Systems Workings'!$G56</f>
        <v>0</v>
      </c>
      <c r="M42" s="172">
        <f ca="1">'TPV2 - Systems Workings'!$H29+'TPV2 - Systems Workings'!$H56</f>
        <v>27000</v>
      </c>
      <c r="N42" s="172">
        <f ca="1">'TPV2 - Systems Workings'!$I29+'TPV2 - Systems Workings'!$I56</f>
        <v>55000</v>
      </c>
      <c r="O42" s="172">
        <f ca="1">'TPV3 - Systems Workings'!$G29+'TPV3 - Systems Workings'!$G56</f>
        <v>0</v>
      </c>
      <c r="P42" s="172">
        <f ca="1">'TPV3 - Systems Workings'!$H29+'TPV3 - Systems Workings'!$H56</f>
        <v>27000</v>
      </c>
      <c r="Q42" s="172">
        <f ca="1">'TPV3 - Systems Workings'!$I29+'TPV3 - Systems Workings'!$I56</f>
        <v>55000</v>
      </c>
      <c r="R42" s="172">
        <f ca="1">'LPL - Systems Workings'!G29+'LPL - Systems Workings'!G56</f>
        <v>0</v>
      </c>
      <c r="S42" s="172">
        <f ca="1">'LPL - Systems Workings'!H29+'LPL - Systems Workings'!H56</f>
        <v>25000</v>
      </c>
      <c r="T42" s="172">
        <f ca="1">'LPL - Systems Workings'!I29+'LPL - Systems Workings'!I56</f>
        <v>44000</v>
      </c>
    </row>
    <row r="43" spans="3:20">
      <c r="C43" s="181"/>
      <c r="D43" s="180" t="s">
        <v>268</v>
      </c>
      <c r="E43" s="180" t="s">
        <v>263</v>
      </c>
      <c r="F43" s="172">
        <f ca="1">'USN - Systems Workings'!G83</f>
        <v>0</v>
      </c>
      <c r="G43" s="172">
        <f ca="1">'USN - Systems Workings'!H83</f>
        <v>6000</v>
      </c>
      <c r="H43" s="172">
        <f ca="1">'USN - Systems Workings'!I83</f>
        <v>12000</v>
      </c>
      <c r="I43" s="172">
        <f ca="1">'TPV - Systems Workings'!$G83</f>
        <v>0</v>
      </c>
      <c r="J43" s="172">
        <f ca="1">'TPV - Systems Workings'!$H83</f>
        <v>6000</v>
      </c>
      <c r="K43" s="172">
        <f ca="1">'TPV - Systems Workings'!$I83</f>
        <v>12000</v>
      </c>
      <c r="L43" s="172">
        <f ca="1">'TPV2 - Systems Workings'!$G83</f>
        <v>0</v>
      </c>
      <c r="M43" s="172">
        <f ca="1">'TPV2 - Systems Workings'!$H83</f>
        <v>6000</v>
      </c>
      <c r="N43" s="172">
        <f ca="1">'TPV2 - Systems Workings'!$I83</f>
        <v>12000</v>
      </c>
      <c r="O43" s="172">
        <f ca="1">'TPV3 - Systems Workings'!$G83</f>
        <v>0</v>
      </c>
      <c r="P43" s="172">
        <f ca="1">'TPV3 - Systems Workings'!$H83</f>
        <v>6000</v>
      </c>
      <c r="Q43" s="172">
        <f ca="1">'TPV3 - Systems Workings'!$I83</f>
        <v>12000</v>
      </c>
      <c r="R43" s="172">
        <f ca="1">'LPL - Systems Workings'!G83</f>
        <v>0</v>
      </c>
      <c r="S43" s="172">
        <f ca="1">'LPL - Systems Workings'!H83</f>
        <v>6000</v>
      </c>
      <c r="T43" s="172">
        <f ca="1">'LPL - Systems Workings'!I83</f>
        <v>12000</v>
      </c>
    </row>
    <row r="44" spans="3:20">
      <c r="D44" s="180" t="s">
        <v>269</v>
      </c>
      <c r="E44" s="180" t="s">
        <v>263</v>
      </c>
      <c r="F44" s="172"/>
      <c r="G44" s="214"/>
      <c r="H44" s="214"/>
      <c r="I44" s="172"/>
      <c r="J44" s="172"/>
      <c r="K44" s="172"/>
      <c r="L44" s="172"/>
      <c r="M44" s="172"/>
      <c r="N44" s="172"/>
      <c r="O44" s="172"/>
      <c r="P44" s="172"/>
      <c r="Q44" s="172"/>
      <c r="R44" s="172"/>
      <c r="S44" s="172"/>
      <c r="T44" s="172"/>
    </row>
    <row r="45" spans="3:20">
      <c r="D45" s="180" t="s">
        <v>270</v>
      </c>
      <c r="E45" s="180" t="s">
        <v>263</v>
      </c>
      <c r="F45" s="172"/>
      <c r="G45" s="215"/>
      <c r="H45" s="215"/>
      <c r="I45" s="172"/>
      <c r="J45" s="172"/>
      <c r="K45" s="172"/>
      <c r="L45" s="172"/>
      <c r="M45" s="172"/>
      <c r="N45" s="172"/>
      <c r="O45" s="172"/>
      <c r="P45" s="172"/>
      <c r="Q45" s="172"/>
      <c r="R45" s="172"/>
      <c r="S45" s="172"/>
      <c r="T45" s="172"/>
    </row>
    <row r="46" spans="3:20">
      <c r="C46" s="166"/>
      <c r="D46" s="180" t="s">
        <v>30</v>
      </c>
      <c r="E46" s="180" t="s">
        <v>263</v>
      </c>
      <c r="F46" s="172"/>
      <c r="G46" s="172"/>
      <c r="H46" s="172"/>
      <c r="I46" s="172"/>
      <c r="J46" s="172"/>
      <c r="K46" s="172"/>
      <c r="L46" s="172"/>
      <c r="M46" s="172"/>
      <c r="N46" s="172"/>
      <c r="O46" s="172"/>
      <c r="P46" s="172"/>
      <c r="Q46" s="172"/>
      <c r="R46" s="172"/>
      <c r="S46" s="172"/>
      <c r="T46" s="172"/>
    </row>
    <row r="47" spans="3:20">
      <c r="D47" s="180" t="s">
        <v>271</v>
      </c>
      <c r="E47" s="180" t="s">
        <v>263</v>
      </c>
      <c r="F47" s="172"/>
      <c r="G47" s="215"/>
      <c r="H47" s="215"/>
      <c r="I47" s="172"/>
      <c r="J47" s="172"/>
      <c r="K47" s="172"/>
      <c r="L47" s="172"/>
      <c r="M47" s="172"/>
      <c r="N47" s="172"/>
      <c r="O47" s="172"/>
      <c r="P47" s="172"/>
      <c r="Q47" s="172"/>
      <c r="R47" s="172"/>
      <c r="S47" s="172"/>
      <c r="T47" s="172"/>
    </row>
    <row r="48" spans="3:20">
      <c r="D48" s="180" t="s">
        <v>272</v>
      </c>
      <c r="E48" s="180" t="s">
        <v>263</v>
      </c>
      <c r="F48" s="172">
        <f ca="1">'USN - Systems Workings'!G38+'USN - Systems Workings'!G65</f>
        <v>0</v>
      </c>
      <c r="G48" s="172">
        <f ca="1">'USN - Systems Workings'!H38+'USN - Systems Workings'!H65</f>
        <v>10000</v>
      </c>
      <c r="H48" s="172">
        <f ca="1">'USN - Systems Workings'!I38+'USN - Systems Workings'!I65</f>
        <v>44000</v>
      </c>
      <c r="I48" s="172">
        <f ca="1">'TPV - Systems Workings'!$G38+'TPV - Systems Workings'!$G65</f>
        <v>0</v>
      </c>
      <c r="J48" s="172">
        <f ca="1">'TPV - Systems Workings'!$H38+'TPV - Systems Workings'!$H65</f>
        <v>10000</v>
      </c>
      <c r="K48" s="172">
        <f ca="1">'TPV - Systems Workings'!$I38+'TPV - Systems Workings'!$I65</f>
        <v>44000</v>
      </c>
      <c r="L48" s="172">
        <f ca="1">'TPV2 - Systems Workings'!$G38+'TPV2 - Systems Workings'!$G65</f>
        <v>0</v>
      </c>
      <c r="M48" s="172">
        <f ca="1">'TPV2 - Systems Workings'!$H38+'TPV2 - Systems Workings'!$H65</f>
        <v>10000</v>
      </c>
      <c r="N48" s="172">
        <f ca="1">'TPV2 - Systems Workings'!$I38+'TPV2 - Systems Workings'!$I65</f>
        <v>44000</v>
      </c>
      <c r="O48" s="172">
        <f ca="1">'TPV3 - Systems Workings'!$G38+'TPV3 - Systems Workings'!$G65</f>
        <v>0</v>
      </c>
      <c r="P48" s="172">
        <f ca="1">'TPV3 - Systems Workings'!$H38+'TPV3 - Systems Workings'!$H65</f>
        <v>10000</v>
      </c>
      <c r="Q48" s="172">
        <f ca="1">'TPV3 - Systems Workings'!$I38+'TPV3 - Systems Workings'!$I65</f>
        <v>44000</v>
      </c>
      <c r="R48" s="172">
        <f ca="1">'LPL - Systems Workings'!G38+'LPL - Systems Workings'!G65</f>
        <v>0</v>
      </c>
      <c r="S48" s="172">
        <f ca="1">'LPL - Systems Workings'!H38+'LPL - Systems Workings'!H65</f>
        <v>6000</v>
      </c>
      <c r="T48" s="172">
        <f ca="1">'LPL - Systems Workings'!I38+'LPL - Systems Workings'!I65</f>
        <v>24000</v>
      </c>
    </row>
    <row r="49" spans="3:20">
      <c r="D49" s="180" t="s">
        <v>273</v>
      </c>
      <c r="E49" s="180" t="s">
        <v>263</v>
      </c>
      <c r="F49" s="172">
        <f ca="1">'USN - Systems Workings'!G47</f>
        <v>0</v>
      </c>
      <c r="G49" s="172">
        <f ca="1">'USN - Systems Workings'!H47</f>
        <v>7000</v>
      </c>
      <c r="H49" s="172">
        <f ca="1">'USN - Systems Workings'!I47</f>
        <v>15000</v>
      </c>
      <c r="I49" s="172">
        <f ca="1">'TPV - Systems Workings'!$G47</f>
        <v>0</v>
      </c>
      <c r="J49" s="172">
        <f ca="1">'TPV - Systems Workings'!$H47</f>
        <v>7000</v>
      </c>
      <c r="K49" s="172">
        <f ca="1">'TPV - Systems Workings'!$I47</f>
        <v>15000</v>
      </c>
      <c r="L49" s="172">
        <f ca="1">'TPV2 - Systems Workings'!$G47</f>
        <v>0</v>
      </c>
      <c r="M49" s="172">
        <f ca="1">'TPV2 - Systems Workings'!$H47</f>
        <v>7000</v>
      </c>
      <c r="N49" s="172">
        <f ca="1">'TPV2 - Systems Workings'!$I47</f>
        <v>15000</v>
      </c>
      <c r="O49" s="172">
        <f ca="1">'TPV3 - Systems Workings'!$G47</f>
        <v>0</v>
      </c>
      <c r="P49" s="172">
        <f ca="1">'TPV3 - Systems Workings'!$H47</f>
        <v>7000</v>
      </c>
      <c r="Q49" s="172">
        <f ca="1">'TPV3 - Systems Workings'!$I47</f>
        <v>15000</v>
      </c>
      <c r="R49" s="172">
        <f ca="1">'LPL - Systems Workings'!G47</f>
        <v>0</v>
      </c>
      <c r="S49" s="172">
        <f ca="1">'LPL - Systems Workings'!H47</f>
        <v>7000</v>
      </c>
      <c r="T49" s="172">
        <f ca="1">'LPL - Systems Workings'!I47</f>
        <v>15000</v>
      </c>
    </row>
    <row r="50" spans="3:20">
      <c r="D50" s="180" t="s">
        <v>291</v>
      </c>
      <c r="F50" s="172" t="b">
        <f ca="1">IF(SUM(F39:F49)='USN - Systems Workings'!G8,TRUE,FALSE)</f>
        <v>1</v>
      </c>
      <c r="G50" s="172" t="b">
        <f ca="1">IF(SUM(G39:G49)='USN - Systems Workings'!H8,TRUE,FALSE)</f>
        <v>1</v>
      </c>
      <c r="H50" s="172" t="b">
        <f ca="1">IF(SUM(H39:H49)='USN - Systems Workings'!I8,TRUE,FALSE)</f>
        <v>1</v>
      </c>
      <c r="I50" s="172" t="b">
        <f ca="1">IF(SUM(I39:I49)='TPV - Systems Workings'!$G8,TRUE,FALSE)</f>
        <v>1</v>
      </c>
      <c r="J50" s="172" t="b">
        <f ca="1">IF(SUM(J39:J49)='TPV - Systems Workings'!$H8,TRUE,FALSE)</f>
        <v>1</v>
      </c>
      <c r="K50" s="172" t="b">
        <f ca="1">IF(SUM(K39:K49)='TPV - Systems Workings'!$I8,TRUE,FALSE)</f>
        <v>1</v>
      </c>
      <c r="L50" s="172" t="b">
        <f ca="1">IF(SUM(L39:L49)='TPV2 - Systems Workings'!$G8,TRUE,FALSE)</f>
        <v>1</v>
      </c>
      <c r="M50" s="172" t="b">
        <f ca="1">IF(SUM(M39:M49)='TPV2 - Systems Workings'!$H8,TRUE,FALSE)</f>
        <v>1</v>
      </c>
      <c r="N50" s="172" t="b">
        <f ca="1">IF(SUM(N39:N49)='TPV2 - Systems Workings'!$I8,TRUE,FALSE)</f>
        <v>1</v>
      </c>
      <c r="O50" s="172" t="b">
        <f ca="1">IF(SUM(O39:O49)='TPV3 - Systems Workings'!$G8,TRUE,FALSE)</f>
        <v>1</v>
      </c>
      <c r="P50" s="172" t="b">
        <f ca="1">IF(SUM(P39:P49)='TPV3 - Systems Workings'!$H8,TRUE,FALSE)</f>
        <v>1</v>
      </c>
      <c r="Q50" s="172" t="b">
        <f ca="1">IF(SUM(Q39:Q49)='TPV3 - Systems Workings'!$I8,TRUE,FALSE)</f>
        <v>1</v>
      </c>
      <c r="R50" s="172" t="b">
        <f ca="1">IF(SUM(R39:R49)='LPL - Systems Workings'!G8,TRUE,FALSE)</f>
        <v>1</v>
      </c>
      <c r="S50" s="172" t="b">
        <f ca="1">IF(SUM(S39:S49)='LPL - Systems Workings'!H8,TRUE,FALSE)</f>
        <v>1</v>
      </c>
      <c r="T50" s="172" t="b">
        <f ca="1">IF(SUM(T39:T49)='LPL - Systems Workings'!I8,TRUE,FALSE)</f>
        <v>1</v>
      </c>
    </row>
    <row r="51" spans="3:20">
      <c r="F51" s="172"/>
      <c r="G51" s="172"/>
      <c r="H51" s="172"/>
      <c r="I51" s="172"/>
      <c r="J51" s="172"/>
      <c r="K51" s="172"/>
      <c r="L51" s="172"/>
      <c r="M51" s="172"/>
      <c r="N51" s="172"/>
      <c r="O51" s="172"/>
      <c r="P51" s="172"/>
      <c r="Q51" s="172"/>
      <c r="R51" s="172"/>
      <c r="S51" s="172"/>
      <c r="T51" s="172"/>
    </row>
    <row r="52" spans="3:20">
      <c r="C52" s="181" t="s">
        <v>289</v>
      </c>
      <c r="F52" s="172"/>
      <c r="G52" s="172"/>
      <c r="H52" s="172"/>
      <c r="I52" s="172"/>
      <c r="J52" s="172"/>
      <c r="K52" s="172"/>
      <c r="L52" s="172"/>
      <c r="M52" s="172"/>
      <c r="N52" s="172"/>
      <c r="O52" s="172"/>
      <c r="P52" s="172"/>
      <c r="Q52" s="172"/>
      <c r="R52" s="172"/>
      <c r="S52" s="172"/>
      <c r="T52" s="172"/>
    </row>
    <row r="53" spans="3:20">
      <c r="D53" s="180" t="s">
        <v>276</v>
      </c>
      <c r="E53" s="180" t="s">
        <v>263</v>
      </c>
      <c r="F53" s="172"/>
      <c r="G53" s="172"/>
      <c r="H53" s="172"/>
      <c r="I53" s="172"/>
      <c r="J53" s="172"/>
      <c r="K53" s="172"/>
      <c r="L53" s="172"/>
      <c r="M53" s="172"/>
      <c r="N53" s="172"/>
      <c r="O53" s="172"/>
      <c r="P53" s="172"/>
      <c r="Q53" s="172"/>
      <c r="R53" s="172"/>
      <c r="S53" s="172"/>
      <c r="T53" s="172"/>
    </row>
    <row r="54" spans="3:20">
      <c r="D54" s="180" t="s">
        <v>277</v>
      </c>
      <c r="E54" s="180" t="s">
        <v>263</v>
      </c>
      <c r="F54" s="171"/>
      <c r="G54" s="171"/>
      <c r="H54" s="172"/>
      <c r="I54" s="171"/>
      <c r="J54" s="171"/>
      <c r="K54" s="171"/>
      <c r="L54" s="171"/>
      <c r="M54" s="171"/>
      <c r="N54" s="171"/>
      <c r="O54" s="171"/>
      <c r="P54" s="171"/>
      <c r="Q54" s="171"/>
      <c r="R54" s="171"/>
      <c r="S54" s="171"/>
      <c r="T54" s="171"/>
    </row>
    <row r="55" spans="3:20">
      <c r="D55" s="180" t="s">
        <v>278</v>
      </c>
      <c r="E55" s="180" t="s">
        <v>263</v>
      </c>
      <c r="F55" s="172"/>
      <c r="G55" s="172"/>
      <c r="H55" s="172"/>
      <c r="I55" s="172"/>
      <c r="J55" s="172"/>
      <c r="K55" s="172"/>
      <c r="L55" s="172"/>
      <c r="M55" s="172"/>
      <c r="N55" s="172"/>
      <c r="O55" s="172"/>
      <c r="P55" s="172"/>
      <c r="Q55" s="172"/>
      <c r="R55" s="172"/>
      <c r="S55" s="172"/>
      <c r="T55" s="172"/>
    </row>
    <row r="56" spans="3:20">
      <c r="D56" s="180" t="s">
        <v>279</v>
      </c>
      <c r="E56" s="180" t="s">
        <v>263</v>
      </c>
      <c r="F56" s="172">
        <f ca="1">'USN - Process Workings'!G17+'USN - Process Workings'!G28</f>
        <v>1500</v>
      </c>
      <c r="G56" s="172">
        <f ca="1">'USN - Process Workings'!H17+'USN - Process Workings'!H28</f>
        <v>33500</v>
      </c>
      <c r="H56" s="172">
        <f ca="1">'USN - Process Workings'!I17+'USN - Process Workings'!I28</f>
        <v>108500</v>
      </c>
      <c r="I56" s="172">
        <f ca="1">'TPV - Process Workings'!$G18+'TPV - Process Workings'!$G30</f>
        <v>1500</v>
      </c>
      <c r="J56" s="172">
        <f ca="1">'TPV - Process Workings'!$H18+'TPV - Process Workings'!$H30</f>
        <v>33500</v>
      </c>
      <c r="K56" s="172">
        <f ca="1">'TPV - Process Workings'!$I18+'TPV - Process Workings'!$I30</f>
        <v>108500</v>
      </c>
      <c r="L56" s="172">
        <f ca="1">'TPV2 - Process Workings'!$G18+'TPV2 - Process Workings'!$G30</f>
        <v>1500</v>
      </c>
      <c r="M56" s="172">
        <f ca="1">'TPV2 - Process Workings'!$H18+'TPV2 - Process Workings'!$H30</f>
        <v>33500</v>
      </c>
      <c r="N56" s="172">
        <f ca="1">'TPV2 - Process Workings'!$I18+'TPV2 - Process Workings'!$I30</f>
        <v>108500</v>
      </c>
      <c r="O56" s="172">
        <f ca="1">'TPV3 - Process Workings'!$G18+'TPV3 - Process Workings'!$G30</f>
        <v>1000</v>
      </c>
      <c r="P56" s="172">
        <f ca="1">'TPV3 - Process Workings'!$H18+'TPV3 - Process Workings'!$H30</f>
        <v>23000</v>
      </c>
      <c r="Q56" s="172">
        <f ca="1">'TPV3 - Process Workings'!$I18+'TPV3 - Process Workings'!$I30</f>
        <v>73000</v>
      </c>
      <c r="R56" s="172">
        <f ca="1">'LPL - Process Workings'!G17+'LPL - Process Workings'!G29</f>
        <v>250</v>
      </c>
      <c r="S56" s="172">
        <f ca="1">'LPL - Process Workings'!H17+'LPL - Process Workings'!H29</f>
        <v>6000</v>
      </c>
      <c r="T56" s="172">
        <f ca="1">'LPL - Process Workings'!I17+'LPL - Process Workings'!I29</f>
        <v>18500</v>
      </c>
    </row>
    <row r="57" spans="3:20">
      <c r="D57" s="180" t="s">
        <v>280</v>
      </c>
      <c r="E57" s="180" t="s">
        <v>263</v>
      </c>
      <c r="F57" s="172">
        <f ca="1">'USN - Process Workings'!G35</f>
        <v>1090.3444338182553</v>
      </c>
      <c r="G57" s="172">
        <f ca="1">'USN - Process Workings'!H35</f>
        <v>21806.888676365106</v>
      </c>
      <c r="H57" s="172">
        <f ca="1">'USN - Process Workings'!I35</f>
        <v>399792.95906669361</v>
      </c>
      <c r="I57" s="172">
        <f ca="1">'TPV - Process Workings'!$G37</f>
        <v>2137.5648777274309</v>
      </c>
      <c r="J57" s="172">
        <f ca="1">'TPV - Process Workings'!$H37</f>
        <v>42751.297554548612</v>
      </c>
      <c r="K57" s="172">
        <f ca="1">'TPV - Process Workings'!$I37</f>
        <v>627019.0308000464</v>
      </c>
      <c r="L57" s="172">
        <f ca="1">'TPV2 - Process Workings'!$G37</f>
        <v>-89.508836704578329</v>
      </c>
      <c r="M57" s="172">
        <f ca="1">'TPV2 - Process Workings'!$H37</f>
        <v>-1790.1767340915662</v>
      </c>
      <c r="N57" s="172">
        <f ca="1">'TPV2 - Process Workings'!$I37</f>
        <v>-26255.925433342974</v>
      </c>
      <c r="O57" s="172">
        <f ca="1">'TPV3 - Process Workings'!$G37</f>
        <v>-960.97246409101672</v>
      </c>
      <c r="P57" s="172">
        <f ca="1">'TPV3 - Process Workings'!$H37</f>
        <v>-19219.449281820333</v>
      </c>
      <c r="Q57" s="172">
        <f ca="1">'TPV3 - Process Workings'!$I37</f>
        <v>-281885.25613336492</v>
      </c>
      <c r="R57" s="172">
        <f ca="1">'LPL - Process Workings'!G36</f>
        <v>2019.9056363637894</v>
      </c>
      <c r="S57" s="172">
        <f ca="1">'LPL - Process Workings'!H36</f>
        <v>40398.112727275788</v>
      </c>
      <c r="T57" s="172">
        <f ca="1">'LPL - Process Workings'!I36</f>
        <v>740632.06666672276</v>
      </c>
    </row>
    <row r="58" spans="3:20">
      <c r="D58" s="180" t="s">
        <v>281</v>
      </c>
      <c r="E58" s="180" t="s">
        <v>263</v>
      </c>
    </row>
    <row r="59" spans="3:20">
      <c r="D59" s="180" t="s">
        <v>282</v>
      </c>
      <c r="E59" s="180" t="s">
        <v>263</v>
      </c>
    </row>
    <row r="60" spans="3:20">
      <c r="D60" s="180" t="s">
        <v>283</v>
      </c>
      <c r="E60" s="180" t="s">
        <v>263</v>
      </c>
    </row>
    <row r="61" spans="3:20">
      <c r="D61" s="180" t="s">
        <v>284</v>
      </c>
      <c r="E61" s="180" t="s">
        <v>263</v>
      </c>
    </row>
    <row r="62" spans="3:20">
      <c r="D62" s="180" t="s">
        <v>285</v>
      </c>
      <c r="E62" s="180" t="s">
        <v>263</v>
      </c>
    </row>
    <row r="63" spans="3:20">
      <c r="D63" s="180" t="s">
        <v>286</v>
      </c>
      <c r="E63" s="180" t="s">
        <v>263</v>
      </c>
    </row>
    <row r="64" spans="3:20">
      <c r="D64" s="180" t="s">
        <v>287</v>
      </c>
    </row>
    <row r="65" spans="4:20">
      <c r="D65" s="180" t="s">
        <v>288</v>
      </c>
    </row>
    <row r="66" spans="4:20">
      <c r="F66" s="172"/>
      <c r="G66" s="172"/>
      <c r="H66" s="172"/>
      <c r="I66" s="172"/>
      <c r="J66" s="172"/>
      <c r="K66" s="172"/>
      <c r="L66" s="172"/>
      <c r="M66" s="172"/>
      <c r="N66" s="172"/>
      <c r="O66" s="172"/>
      <c r="P66" s="172"/>
      <c r="Q66" s="172"/>
      <c r="R66" s="172"/>
      <c r="S66" s="172"/>
      <c r="T66" s="17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nformation paper" ma:contentTypeID="0x0101002BCF02C3A6BBA94A8A6C9F8F85B5BB520094EAFF77E11C3C4D839C502F8FD27EF0" ma:contentTypeVersion="0" ma:contentTypeDescription="Information paper to be presented to a board or committee" ma:contentTypeScope="" ma:versionID="4e3972323ac991e56201d35dd02afa9c">
  <xsd:schema xmlns:xsd="http://www.w3.org/2001/XMLSchema" xmlns:p="http://schemas.microsoft.com/office/2006/metadata/properties" targetNamespace="http://schemas.microsoft.com/office/2006/metadata/properties" ma:root="true" ma:fieldsID="25dd98c1170b35e440f4d6af06645d8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757AC4A-6009-4ED0-AD1A-0D79B28DE507}"/>
</file>

<file path=customXml/itemProps2.xml><?xml version="1.0" encoding="utf-8"?>
<ds:datastoreItem xmlns:ds="http://schemas.openxmlformats.org/officeDocument/2006/customXml" ds:itemID="{85038F84-658E-462B-87E3-3A48CE5F4AFC}"/>
</file>

<file path=customXml/itemProps3.xml><?xml version="1.0" encoding="utf-8"?>
<ds:datastoreItem xmlns:ds="http://schemas.openxmlformats.org/officeDocument/2006/customXml" ds:itemID="{4816FA59-C485-4660-BE48-94F6D2E005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22</vt:i4>
      </vt:variant>
    </vt:vector>
  </HeadingPairs>
  <TitlesOfParts>
    <vt:vector size="63" baseType="lpstr">
      <vt:lpstr>Admin</vt:lpstr>
      <vt:lpstr>Model_Overview</vt:lpstr>
      <vt:lpstr>Outputs---&gt;</vt:lpstr>
      <vt:lpstr>Graphs</vt:lpstr>
      <vt:lpstr>Sensitivity Tables</vt:lpstr>
      <vt:lpstr>Industry Model Adj---&gt;</vt:lpstr>
      <vt:lpstr>Industry Cost Inputs</vt:lpstr>
      <vt:lpstr>Industry Per CP Per Cust Costs</vt:lpstr>
      <vt:lpstr>Industry - Mkt Size Inputs</vt:lpstr>
      <vt:lpstr>Industry Model Outputs</vt:lpstr>
      <vt:lpstr>Industry Cost Inputs - Original</vt:lpstr>
      <vt:lpstr>Independent Model---&gt;</vt:lpstr>
      <vt:lpstr>Independent Cost Inputs</vt:lpstr>
      <vt:lpstr>Sensitivities</vt:lpstr>
      <vt:lpstr>Independent Mkt Size Inputs </vt:lpstr>
      <vt:lpstr>Scenarios</vt:lpstr>
      <vt:lpstr>Independent Model Outputs</vt:lpstr>
      <vt:lpstr>USN Calc---&gt;</vt:lpstr>
      <vt:lpstr>USN - Process Workings</vt:lpstr>
      <vt:lpstr>USN - Systems Workings</vt:lpstr>
      <vt:lpstr>USN - Central Costs</vt:lpstr>
      <vt:lpstr>TPV Calc---&gt;</vt:lpstr>
      <vt:lpstr>TPV - Process Workings</vt:lpstr>
      <vt:lpstr>TPV - Systems Workings</vt:lpstr>
      <vt:lpstr>TPV - Central Costs</vt:lpstr>
      <vt:lpstr>TPV2 Calc---&gt;</vt:lpstr>
      <vt:lpstr>TPV2 - Process Workings</vt:lpstr>
      <vt:lpstr>TPV2 - Systems Workings</vt:lpstr>
      <vt:lpstr>TPV2 - Central Costs</vt:lpstr>
      <vt:lpstr>TPV3 Calc---&gt;</vt:lpstr>
      <vt:lpstr>TPV3 - Process Workings</vt:lpstr>
      <vt:lpstr>TPV3 - Systems Workings</vt:lpstr>
      <vt:lpstr>TPV3 - Central Costs</vt:lpstr>
      <vt:lpstr>LPL Calc---&gt;</vt:lpstr>
      <vt:lpstr>LPL - Process Workings</vt:lpstr>
      <vt:lpstr>LPL - Systems Workings</vt:lpstr>
      <vt:lpstr>LPL - Central Costs</vt:lpstr>
      <vt:lpstr>Misc---&gt;</vt:lpstr>
      <vt:lpstr>NPV Model</vt:lpstr>
      <vt:lpstr>Independent Per CP Summary</vt:lpstr>
      <vt:lpstr>Cost-Template</vt:lpstr>
      <vt:lpstr>Broadband_ratio</vt:lpstr>
      <vt:lpstr>Bundle_CallTime</vt:lpstr>
      <vt:lpstr>Bundle_Name</vt:lpstr>
      <vt:lpstr>Bundle_ratio</vt:lpstr>
      <vt:lpstr>Call_Time_Blend</vt:lpstr>
      <vt:lpstr>CnP_CallTime</vt:lpstr>
      <vt:lpstr>CnP_Ratio</vt:lpstr>
      <vt:lpstr>Day_Rate</vt:lpstr>
      <vt:lpstr>Day_Rate_High</vt:lpstr>
      <vt:lpstr>Day_Rate_Low</vt:lpstr>
      <vt:lpstr>Day_Rate_Mid</vt:lpstr>
      <vt:lpstr>FTE_Cost</vt:lpstr>
      <vt:lpstr>MAC_Calltime</vt:lpstr>
      <vt:lpstr>NoT_Calltime</vt:lpstr>
      <vt:lpstr>OnlineSalesPc</vt:lpstr>
      <vt:lpstr>OPEXtoCAPEX</vt:lpstr>
      <vt:lpstr>Sensitivity_Selector</vt:lpstr>
      <vt:lpstr>Switches_High</vt:lpstr>
      <vt:lpstr>Switches_Low</vt:lpstr>
      <vt:lpstr>Switches_Medium</vt:lpstr>
      <vt:lpstr>Training_Cost_CSA</vt:lpstr>
      <vt:lpstr>Voice_ratio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CSMG</dc:creator>
  <cp:lastModifiedBy>katharine.morrison</cp:lastModifiedBy>
  <dcterms:created xsi:type="dcterms:W3CDTF">2011-04-18T13:00:03Z</dcterms:created>
  <dcterms:modified xsi:type="dcterms:W3CDTF">2012-01-27T09:29:27Z</dcterms:modified>
  <cp:contentType>Information paper</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111400</vt:r8>
  </property>
  <property fmtid="{D5CDD505-2E9C-101B-9397-08002B2CF9AE}" pid="7" name="ContentTypeId">
    <vt:lpwstr>0x0101002BCF02C3A6BBA94A8A6C9F8F85B5BB520094EAFF77E11C3C4D839C502F8FD27EF0</vt:lpwstr>
  </property>
</Properties>
</file>