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110" windowHeight="11670" tabRatio="556" activeTab="4"/>
  </bookViews>
  <sheets>
    <sheet name="Contents" sheetId="50" r:id="rId1"/>
    <sheet name="Version History" sheetId="48" state="hidden" r:id="rId2"/>
    <sheet name="Quality Assurance" sheetId="51" state="hidden" r:id="rId3"/>
    <sheet name="Style Guidelines" sheetId="47" state="hidden" r:id="rId4"/>
    <sheet name="Scenarios" sheetId="81" r:id="rId5"/>
    <sheet name="Inputs" sheetId="64" r:id="rId6"/>
    <sheet name="Rental Forecasts" sheetId="79" r:id="rId7"/>
    <sheet name="Other Forecasts" sheetId="86" r:id="rId8"/>
    <sheet name="Outputs" sheetId="73" r:id="rId9"/>
  </sheets>
  <externalReferences>
    <externalReference r:id="rId10"/>
    <externalReference r:id="rId11"/>
    <externalReference r:id="rId12"/>
    <externalReference r:id="rId13"/>
    <externalReference r:id="rId14"/>
  </externalReferences>
  <definedNames>
    <definedName name="__cap1" hidden="1">{"'EARLY LIFE SAVINGS - COSTS '!$A$1:$N$56"}</definedName>
    <definedName name="__cur1" hidden="1">{"'EARLY LIFE SAVINGS - COSTS '!$A$1:$N$56"}</definedName>
    <definedName name="__g1" hidden="1">{"'100'!$A$1:$M$83"}</definedName>
    <definedName name="__gh1" hidden="1">{"'100'!$A$1:$M$83"}</definedName>
    <definedName name="__mm1" hidden="1">{"'100'!$A$1:$M$83"}</definedName>
    <definedName name="_cap1" hidden="1">{"'EARLY LIFE SAVINGS - COSTS '!$A$1:$N$56"}</definedName>
    <definedName name="_cur1" hidden="1">{"'EARLY LIFE SAVINGS - COSTS '!$A$1:$N$56"}</definedName>
    <definedName name="_Fill" localSheetId="7" hidden="1">#REF!</definedName>
    <definedName name="_Fill" localSheetId="6" hidden="1">#REF!</definedName>
    <definedName name="_Fill" localSheetId="4" hidden="1">#REF!</definedName>
    <definedName name="_Fill" hidden="1">#REF!</definedName>
    <definedName name="_g1" hidden="1">{"'100'!$A$1:$M$83"}</definedName>
    <definedName name="_gh1" hidden="1">{"'100'!$A$1:$M$83"}</definedName>
    <definedName name="_Key1" localSheetId="7" hidden="1">#REF!</definedName>
    <definedName name="_Key1" localSheetId="6" hidden="1">#REF!</definedName>
    <definedName name="_Key1" localSheetId="4" hidden="1">#REF!</definedName>
    <definedName name="_Key1" hidden="1">#REF!</definedName>
    <definedName name="_Key2" localSheetId="7" hidden="1">#REF!</definedName>
    <definedName name="_Key2" localSheetId="6" hidden="1">#REF!</definedName>
    <definedName name="_Key2" localSheetId="4" hidden="1">#REF!</definedName>
    <definedName name="_Key2" hidden="1">#REF!</definedName>
    <definedName name="_mm1" hidden="1">{"'100'!$A$1:$M$83"}</definedName>
    <definedName name="_Order1" hidden="1">255</definedName>
    <definedName name="_Order2" hidden="1">255</definedName>
    <definedName name="a">#REF!</definedName>
    <definedName name="ab" hidden="1">{"'100'!$A$1:$M$83"}</definedName>
    <definedName name="anscount" hidden="1">1</definedName>
    <definedName name="Anx15_Data">'[1]Annex 15'!$C$12:$R$298</definedName>
    <definedName name="Anx15_DataCOL">'[1]Annex 15'!$C$12:$R$12</definedName>
    <definedName name="as" hidden="1">'[2]#REF'!$C$18:$C$18</definedName>
    <definedName name="bb" localSheetId="7" hidden="1">#REF!</definedName>
    <definedName name="bb" localSheetId="6" hidden="1">#REF!</definedName>
    <definedName name="bb" localSheetId="4" hidden="1">#REF!</definedName>
    <definedName name="bb" hidden="1">#REF!</definedName>
    <definedName name="bbarl" localSheetId="7" hidden="1">#REF!</definedName>
    <definedName name="bbarl" localSheetId="6" hidden="1">#REF!</definedName>
    <definedName name="bbarl" localSheetId="4" hidden="1">#REF!</definedName>
    <definedName name="bbarl" hidden="1">#REF!</definedName>
    <definedName name="bus_voice_lines">Inputs!$F$20:$I$20</definedName>
    <definedName name="business_sites">'Rental Forecasts'!$F$31:$N$31</definedName>
    <definedName name="cap" hidden="1">{"'EARLY LIFE SAVINGS - COSTS '!$A$1:$N$56"}</definedName>
    <definedName name="churn">Inputs!$G$70:$N$70</definedName>
    <definedName name="crap" hidden="1">{"'EARLY LIFE SAVINGS - COSTS '!$A$1:$N$56"}</definedName>
    <definedName name="crap1" hidden="1">{"'EARLY LIFE SAVINGS - COSTS '!$A$1:$N$56"}</definedName>
    <definedName name="cur" hidden="1">{"'EARLY LIFE SAVINGS - COSTS '!$A$1:$N$56"}</definedName>
    <definedName name="dampening_factor">#REF!</definedName>
    <definedName name="del" localSheetId="7" hidden="1">#REF!</definedName>
    <definedName name="del" hidden="1">#REF!</definedName>
    <definedName name="dele" localSheetId="7" hidden="1">#REF!</definedName>
    <definedName name="dele" hidden="1">#REF!</definedName>
    <definedName name="dele1" hidden="1">#REF!</definedName>
    <definedName name="delete" localSheetId="7" hidden="1">#REF!</definedName>
    <definedName name="delete" hidden="1">#REF!</definedName>
    <definedName name="delete1" hidden="1">#REF!</definedName>
    <definedName name="Early_life" hidden="1">"G:\USERS\NDJ5J2\CS South QPB 2000-01\BHAG Initiatives\actper.htm"</definedName>
    <definedName name="ee" localSheetId="7" hidden="1">#REF!</definedName>
    <definedName name="ee" hidden="1">#REF!</definedName>
    <definedName name="eeeee" localSheetId="7" hidden="1">#REF!</definedName>
    <definedName name="eeeee" hidden="1">#REF!</definedName>
    <definedName name="fibre">Scenarios!#REF!</definedName>
    <definedName name="forecast_mpf">'Rental Forecasts'!$F$106:$N$106</definedName>
    <definedName name="forecast_smpf">'Rental Forecasts'!$F$108:$N$108</definedName>
    <definedName name="forecast_wlr">'Rental Forecasts'!$F$107:$N$107</definedName>
    <definedName name="fttc_on_wlr">Inputs!#REF!</definedName>
    <definedName name="g" hidden="1">{"'100'!$A$1:$M$83"}</definedName>
    <definedName name="General.Years">[3]Input_Lists!$G$10:$AU$10</definedName>
    <definedName name="gh" hidden="1">{"'100'!$A$1:$M$83"}</definedName>
    <definedName name="households">'Rental Forecasts'!$F$21:$N$21</definedName>
    <definedName name="HTM_Control_Old" hidden="1">{"'100'!$A$1:$M$83"}</definedName>
    <definedName name="HTM_Control_Old1" hidden="1">{"'100'!$A$1:$M$83"}</definedName>
    <definedName name="HTML_CodePage" hidden="1">1252</definedName>
    <definedName name="HTML_Conrol_Old1" hidden="1">{"'100'!$A$1:$M$83"}</definedName>
    <definedName name="HTML_Conrtol_Old" hidden="1">{"'100'!$A$1:$M$83"}</definedName>
    <definedName name="HTML_Control" hidden="1">{"'100'!$A$1:$M$83"}</definedName>
    <definedName name="HTML_Control1" hidden="1">{"'100'!$A$1:$M$83"}</definedName>
    <definedName name="HTML_Description" hidden="1">""</definedName>
    <definedName name="HTML_Email" hidden="1">"gary.2.ward@bt.com"</definedName>
    <definedName name="HTML_Header" hidden="1">"April 2000"</definedName>
    <definedName name="HTML_LastUpdate" hidden="1">"23/02/2000"</definedName>
    <definedName name="HTML_LineAfter" hidden="1">FALSE</definedName>
    <definedName name="HTML_LineBefore" hidden="1">FALSE</definedName>
    <definedName name="HTML_Name" hidden="1">"Gary Ward"</definedName>
    <definedName name="HTML_OBDlg2" hidden="1">TRUE</definedName>
    <definedName name="HTML_OBDlg4" hidden="1">TRUE</definedName>
    <definedName name="HTML_OS" hidden="1">0</definedName>
    <definedName name="HTML_PathFile" hidden="1">"G:\Acc00-01\Development\manacc.htm"</definedName>
    <definedName name="HTML_Title" hidden="1">"Management Accounts Pack - Demo"</definedName>
    <definedName name="HTML1_1" hidden="1">"[JVUPVSN3.XLS]Sheet1!$A$17:$G$23"</definedName>
    <definedName name="HTML1_10" hidden="1">""</definedName>
    <definedName name="HTML1_11" hidden="1">1</definedName>
    <definedName name="HTML1_12" hidden="1">"C:\DATA\EXCEL\MYHTML.HTM"</definedName>
    <definedName name="HTML1_2" hidden="1">1</definedName>
    <definedName name="HTML1_3" hidden="1">"JVUPVSN3"</definedName>
    <definedName name="HTML1_4" hidden="1">"Sheet1"</definedName>
    <definedName name="HTML1_5" hidden="1">""</definedName>
    <definedName name="HTML1_6" hidden="1">-4146</definedName>
    <definedName name="HTML1_7" hidden="1">-4146</definedName>
    <definedName name="HTML1_8" hidden="1">"21/01/98"</definedName>
    <definedName name="HTML1_9" hidden="1">"BT"</definedName>
    <definedName name="HTML10_1" hidden="1">"'[MANMAY96.XLS]BYMONTH (2)'!$B$20:$R$38"</definedName>
    <definedName name="HTML10_11" hidden="1">1</definedName>
    <definedName name="HTML10_12" hidden="1">"C:\WWWMAY\BYMONTH3.HTM"</definedName>
    <definedName name="HTML10_2" hidden="1">-4146</definedName>
    <definedName name="HTML10_3" hidden="1">"C:\WWWMAY\BYMONTH2.HTM"</definedName>
    <definedName name="HTML11_1" hidden="1">"'[MANMAY96.XLS]BYMONTH (2)'!$B$39:$R$50"</definedName>
    <definedName name="HTML11_11" hidden="1">1</definedName>
    <definedName name="HTML11_12" hidden="1">"C:\WWWMAY\BYMONTH.HTM"</definedName>
    <definedName name="HTML11_2" hidden="1">-4146</definedName>
    <definedName name="HTML11_3" hidden="1">"C:\WWWMAY\BYMONTH3.HTM"</definedName>
    <definedName name="HTML12_1" hidden="1">"[MANMAY96.XLS]SKILLS!$A$2:$K$14"</definedName>
    <definedName name="HTML12_11" hidden="1">1</definedName>
    <definedName name="HTML12_12" hidden="1">"C:\WWWMAY\SKILLS.HTM"</definedName>
    <definedName name="HTML12_2" hidden="1">-4146</definedName>
    <definedName name="HTML12_3" hidden="1">"C:\WWWMAY\SKILLS1.HTM"</definedName>
    <definedName name="HTML13_1" hidden="1">"'[MANMAY96.XLS]SKILLS (2)'!$A$1:$K$13"</definedName>
    <definedName name="HTML13_11" hidden="1">1</definedName>
    <definedName name="HTML13_12" hidden="1">"C:\WWWMAY\SKILLS.HTM"</definedName>
    <definedName name="HTML13_2" hidden="1">-4146</definedName>
    <definedName name="HTML13_3" hidden="1">"C:\WWWMAY\SKILLS1.HTM"</definedName>
    <definedName name="HTML14_1" hidden="1">"'[PEOPLE1.XLS]£COSTSUM (2)'!$A$1:$I$17"</definedName>
    <definedName name="HTML14_11" hidden="1">1</definedName>
    <definedName name="HTML14_12" hidden="1">"C:\WWWJUN\SUMMARY.HTM"</definedName>
    <definedName name="HTML14_2" hidden="1">-4146</definedName>
    <definedName name="HTML14_3" hidden="1">"C:\WWWJUN\SUMMARY1.HTM"</definedName>
    <definedName name="HTML15_1" hidden="1">"'[PEOPLE1.XLS]£COSTSUM (2)'!$A$1:$I$18"</definedName>
    <definedName name="HTML15_11" hidden="1">1</definedName>
    <definedName name="HTML15_12" hidden="1">"C:\WWWJUL\SUMMARY.HTM"</definedName>
    <definedName name="HTML15_2" hidden="1">-4146</definedName>
    <definedName name="HTML15_3" hidden="1">"C:\WWWJUL\SUMMARY1.HTM"</definedName>
    <definedName name="HTML16_1" hidden="1">"'[PEOPLE1.XLS]SKILLS (2)'!$A$1:$K$15"</definedName>
    <definedName name="HTML16_11" hidden="1">1</definedName>
    <definedName name="HTML16_12" hidden="1">"C:\WWWJUL\SKILLS.HTM"</definedName>
    <definedName name="HTML16_2" hidden="1">-4146</definedName>
    <definedName name="HTML16_3" hidden="1">"C:\WWWJUL\SKILLS1.HTM"</definedName>
    <definedName name="HTML17_1" hidden="1">"'[PEOPLE1.XLS]GRADEGP (2)'!$A$1:$O$37"</definedName>
    <definedName name="HTML17_11" hidden="1">1</definedName>
    <definedName name="HTML17_12" hidden="1">"C:\WWWJUL\GRADEGP.HTM"</definedName>
    <definedName name="HTML17_2" hidden="1">-4146</definedName>
    <definedName name="HTML17_3" hidden="1">"C:\WWWJUL\GRADEGP1.HTM"</definedName>
    <definedName name="HTML18_1" hidden="1">"'[PEOPLE1.XLS]OTHER (2)'!$A$2:$M$28"</definedName>
    <definedName name="HTML18_11" hidden="1">1</definedName>
    <definedName name="HTML18_12" hidden="1">"C:\WWWJUL\OTHER.HTM"</definedName>
    <definedName name="HTML18_2" hidden="1">-4146</definedName>
    <definedName name="HTML18_3" hidden="1">"C:\WWWJUL\OTHER1.HTM"</definedName>
    <definedName name="HTML19_1" hidden="1">"'[PEOPLE1.XLS]BYMONTH (2)'!$B$1:$R$19"</definedName>
    <definedName name="HTML19_11" hidden="1">1</definedName>
    <definedName name="HTML19_12" hidden="1">"C:\WWWJUL\BYMONTH2.HTM"</definedName>
    <definedName name="HTML19_2" hidden="1">-4146</definedName>
    <definedName name="HTML19_3" hidden="1">"C:\WWWJUL\BYMONTH1.HTM"</definedName>
    <definedName name="HTML2_1" hidden="1">"[JVVSN10.XLS]Sheet1!$A$1:$I$500"</definedName>
    <definedName name="HTML2_11" hidden="1">-4146</definedName>
    <definedName name="HTML2_12" hidden="1">"C:\DATA\EXCEL\MyHTML6.htm"</definedName>
    <definedName name="HTML2_2" hidden="1">-4146</definedName>
    <definedName name="HTML2_3" hidden="1">"C:\DATA\EXCEL\JVUPLOAD.HTM"</definedName>
    <definedName name="HTML20_1" hidden="1">"'[PEOPLE1.XLS]BYMONTH (2)'!$B$21:$R$38"</definedName>
    <definedName name="HTML20_11" hidden="1">1</definedName>
    <definedName name="HTML20_12" hidden="1">"C:\WWWJUL\BYMONTH3.HTM"</definedName>
    <definedName name="HTML20_2" hidden="1">-4146</definedName>
    <definedName name="HTML20_3" hidden="1">"C:\WWWJUL\BYMONTH2.HTM"</definedName>
    <definedName name="HTML21_1" hidden="1">"'[PEOPLE1.XLS]BYMONTH (2)'!$B$21:$R$40"</definedName>
    <definedName name="HTML21_11" hidden="1">1</definedName>
    <definedName name="HTML21_12" hidden="1">"C:\WWWJUL\BYMONTH3.HTM"</definedName>
    <definedName name="HTML21_2" hidden="1">-4146</definedName>
    <definedName name="HTML21_3" hidden="1">"C:\WWWJUL\BYMONTH2.HTM"</definedName>
    <definedName name="HTML22_1" hidden="1">"'[PEOPLE1.XLS]BYMONTH (2)'!$B$43:$R$53"</definedName>
    <definedName name="HTML22_11" hidden="1">1</definedName>
    <definedName name="HTML22_12" hidden="1">"C:\WWWJUL\BYMONTH.HTM"</definedName>
    <definedName name="HTML22_2" hidden="1">-4146</definedName>
    <definedName name="HTML22_3" hidden="1">"C:\WWWJUL\BYMONTH3.HTM"</definedName>
    <definedName name="HTML23_1" hidden="1">"'[PEOPLE1.XLS]SICK2 (2)'!$A$22:$F$44"</definedName>
    <definedName name="HTML23_11" hidden="1">1</definedName>
    <definedName name="HTML23_12" hidden="1">"C:\WWWJUL\SICK2.HTM"</definedName>
    <definedName name="HTML23_2" hidden="1">-4146</definedName>
    <definedName name="HTML23_3" hidden="1">"C:\WWWJUL\SICK21.HTM"</definedName>
    <definedName name="HTML24_1" hidden="1">"'[PEOPLE1.XLS]SKILLS (2)'!$A$2:$L$14"</definedName>
    <definedName name="HTML24_11" hidden="1">1</definedName>
    <definedName name="HTML24_12" hidden="1">"C:\WWWJUL\SKILLS.HTM"</definedName>
    <definedName name="HTML24_2" hidden="1">-4146</definedName>
    <definedName name="HTML24_3" hidden="1">"C:\WWWJUL\SKILLS1.HTM"</definedName>
    <definedName name="HTML25_1" hidden="1">"'[PEOPLE.XLS]BYMONTH (2)'!$B$1:$R$19"</definedName>
    <definedName name="HTML25_11" hidden="1">1</definedName>
    <definedName name="HTML25_12" hidden="1">"C:\WWWPIR\WWWAUG\BYMONTH2.HTM"</definedName>
    <definedName name="HTML25_2" hidden="1">-4146</definedName>
    <definedName name="HTML25_3" hidden="1">"C:\WWWPIR\WWWAUG\BYMONTH1.HTM"</definedName>
    <definedName name="HTML26_1" hidden="1">"'[PEOPLE.XLS]BYMONTH (2)'!$B$21:$R$39"</definedName>
    <definedName name="HTML26_11" hidden="1">1</definedName>
    <definedName name="HTML26_12" hidden="1">"C:\WWWPIR\WWWAUG\BYMONTH3.HTM"</definedName>
    <definedName name="HTML26_2" hidden="1">-4146</definedName>
    <definedName name="HTML26_3" hidden="1">"C:\WWWPIR\WWWAUG\BYMONTH2.HTM"</definedName>
    <definedName name="HTML27_1" hidden="1">"'[PEOPLE.XLS]BYMONTH (2)'!$B$43:$R$53"</definedName>
    <definedName name="HTML27_11" hidden="1">1</definedName>
    <definedName name="HTML27_12" hidden="1">"C:\WWWPIR\WWWAUG\BYMONTH.HTM"</definedName>
    <definedName name="HTML27_2" hidden="1">-4146</definedName>
    <definedName name="HTML27_3" hidden="1">"C:\WWWPIR\WWWAUG\BYMONTH3.HTM"</definedName>
    <definedName name="HTML28_1" hidden="1">"'[PEOPLE.XLS]GRADEGP (2)'!$A$2:$O$36"</definedName>
    <definedName name="HTML28_11" hidden="1">1</definedName>
    <definedName name="HTML28_12" hidden="1">"C:\WWW\PIR\OCT96\GRADEGP.HTM"</definedName>
    <definedName name="HTML28_2" hidden="1">-4146</definedName>
    <definedName name="HTML28_3" hidden="1">"C:\WWW\PIR\OCT96\GRADEGP1.HTM"</definedName>
    <definedName name="HTML29_1" hidden="1">"'[PEOPLE.XLS]OTHER (2)'!$A$2:$M$28"</definedName>
    <definedName name="HTML29_11" hidden="1">1</definedName>
    <definedName name="HTML29_12" hidden="1">"C:\WWWPIR\WWWAUG\OTHER.HTM"</definedName>
    <definedName name="HTML29_2" hidden="1">-4146</definedName>
    <definedName name="HTML29_3" hidden="1">"C:\WWWPIR\WWWAUG\OTHER1.HTM"</definedName>
    <definedName name="HTML3_1" hidden="1">"'[MANMAY96.XLS]BYMONTH (2)'!$B$2:$R$47"</definedName>
    <definedName name="HTML3_11" hidden="1">1</definedName>
    <definedName name="HTML3_12" hidden="1">"C:\WWWMAY\BYMONTH.HTM"</definedName>
    <definedName name="HTML3_2" hidden="1">-4146</definedName>
    <definedName name="HTML3_3" hidden="1">"C:\WWWMAY\BYMONTH1.HTM"</definedName>
    <definedName name="HTML30_1" hidden="1">"'[PEOPLE.XLS]SICK1 (2)'!$B$21:$G$38"</definedName>
    <definedName name="HTML30_11" hidden="1">1</definedName>
    <definedName name="HTML30_12" hidden="1">"C:\WWW\PIR\OCT96\SICK1.HTM"</definedName>
    <definedName name="HTML30_2" hidden="1">-4146</definedName>
    <definedName name="HTML30_3" hidden="1">"C:\WWW\PIR\OCT96\SICK11.HTM"</definedName>
    <definedName name="HTML31_1" hidden="1">"'[PEOPLE.XLS]SICK2 (2)'!$A$22:$F$44"</definedName>
    <definedName name="HTML31_11" hidden="1">1</definedName>
    <definedName name="HTML31_12" hidden="1">"C:\WWW\PIR\OCT96\SICK2.HTM"</definedName>
    <definedName name="HTML31_2" hidden="1">-4146</definedName>
    <definedName name="HTML31_3" hidden="1">"C:\WWW\PIR\OCT96\SICK21.HTM"</definedName>
    <definedName name="HTML32_1" hidden="1">"'[PEOPLE.XLS]SKILLS (2)'!$A$2:$L$14"</definedName>
    <definedName name="HTML32_11" hidden="1">1</definedName>
    <definedName name="HTML32_12" hidden="1">"C:\WWW\PIR\OCT96\SKILLS.HTM"</definedName>
    <definedName name="HTML32_2" hidden="1">-4146</definedName>
    <definedName name="HTML32_3" hidden="1">"C:\WWW\PIR\OCT96\SKILLS1.HTM"</definedName>
    <definedName name="HTML33_1" hidden="1">"'[PEOPLE.XLS]£COSTSUM'!$A$2:$I$20"</definedName>
    <definedName name="HTML33_11" hidden="1">1</definedName>
    <definedName name="HTML33_12" hidden="1">"C:\WWWPIR\WWWAUG\SUMMARY.HTM"</definedName>
    <definedName name="HTML33_2" hidden="1">-4146</definedName>
    <definedName name="HTML33_3" hidden="1">"C:\WWWPIR\WWWAUG\SUMMARY1.HTM"</definedName>
    <definedName name="HTML34_1" hidden="1">"'[PEOPLE.XLS]£COSTSUM (2)'!$A$1:$I$18"</definedName>
    <definedName name="HTML34_11" hidden="1">1</definedName>
    <definedName name="HTML34_12" hidden="1">"C:\WWWPIR\WWWAUG\SUMMARY.HTM"</definedName>
    <definedName name="HTML34_2" hidden="1">-4146</definedName>
    <definedName name="HTML34_3" hidden="1">"C:\WWWPIR\WWWAUG\SUMMARY1.HTM"</definedName>
    <definedName name="HTML35_1" hidden="1">"'[PEOPLE.XLS]£COSTSUM (2)'!$A$2:$I$20"</definedName>
    <definedName name="HTML35_11" hidden="1">1</definedName>
    <definedName name="HTML35_12" hidden="1">"C:\WWWPIR\WWWAUG\SUMMARY.HTM"</definedName>
    <definedName name="HTML35_2" hidden="1">-4146</definedName>
    <definedName name="HTML35_3" hidden="1">"C:\WWWPIR\WWWAUG\SUMMARY1.HTM"</definedName>
    <definedName name="HTML36_1" hidden="1">"'[PEOPLE.XLS]OTHER (2)'!$A$2:$M$29"</definedName>
    <definedName name="HTML36_11" hidden="1">1</definedName>
    <definedName name="HTML36_12" hidden="1">"C:\WWWPIR\WWWAUG\OTHER.HTM"</definedName>
    <definedName name="HTML36_2" hidden="1">-4146</definedName>
    <definedName name="HTML36_3" hidden="1">"C:\WWWPIR\WWWAUG\OTHER1.HTM"</definedName>
    <definedName name="HTML37_1" hidden="1">"'[PEOPLE.XLS]BYMONTH (2)'!$B$1:$R$20"</definedName>
    <definedName name="HTML37_11" hidden="1">1</definedName>
    <definedName name="HTML37_12" hidden="1">"C:\WWW\PIR\OCT96\BYMONTH2.HTM"</definedName>
    <definedName name="HTML37_2" hidden="1">-4146</definedName>
    <definedName name="HTML37_3" hidden="1">"C:\WWW\PIR\OCT96\BYMONTH1.HTM"</definedName>
    <definedName name="HTML38_1" hidden="1">"'[PEOPLE.XLS]BYMONTH (2)'!$B$22:$R$40"</definedName>
    <definedName name="HTML38_11" hidden="1">1</definedName>
    <definedName name="HTML38_12" hidden="1">"C:\WWW\PIR\OCT96\BYMONTH3.HTM"</definedName>
    <definedName name="HTML38_2" hidden="1">-4146</definedName>
    <definedName name="HTML38_3" hidden="1">"C:\WWW\PIR\OCT96\BYMONTH2.HTM"</definedName>
    <definedName name="HTML39_1" hidden="1">"'[PEOPLE.XLS]BYMONTH (2)'!$B$44:$R$54"</definedName>
    <definedName name="HTML39_11" hidden="1">1</definedName>
    <definedName name="HTML39_12" hidden="1">"C:\WWW\PIR\OCT96\BYMONTH.HTM"</definedName>
    <definedName name="HTML39_2" hidden="1">-4146</definedName>
    <definedName name="HTML39_3" hidden="1">"C:\WWW\PIR\OCT96\BYMONTH3.HTM"</definedName>
    <definedName name="HTML4_1" hidden="1">"'[MANMAY96.XLS]BYMONTH (2)'!$B$2:$R$50"</definedName>
    <definedName name="HTML4_11" hidden="1">1</definedName>
    <definedName name="HTML4_12" hidden="1">"C:\WWWMAY\BYMONTH.HTM"</definedName>
    <definedName name="HTML4_2" hidden="1">-4146</definedName>
    <definedName name="HTML4_3" hidden="1">"C:\WWWMAY\BYMONTH1.HTM"</definedName>
    <definedName name="HTML40_1" hidden="1">"'[PEOPLE.XLS]OTHER (2)'!$A$2:$N$28"</definedName>
    <definedName name="HTML40_11" hidden="1">1</definedName>
    <definedName name="HTML40_12" hidden="1">"C:\WWW\PIR\OCT96\OTHER.HTM"</definedName>
    <definedName name="HTML40_2" hidden="1">-4146</definedName>
    <definedName name="HTML40_3" hidden="1">"C:\WWW\PIR\OCT96\OTHER1.HTM"</definedName>
    <definedName name="HTML41_1" hidden="1">"'[PEOPLE.XLS]OTHER (2)'!$A$2:$O$28"</definedName>
    <definedName name="HTML41_11" hidden="1">1</definedName>
    <definedName name="HTML41_12" hidden="1">"C:\WWW\PIR\OCT96\OTHER.HTM"</definedName>
    <definedName name="HTML41_2" hidden="1">-4146</definedName>
    <definedName name="HTML41_3" hidden="1">"C:\WWW\PIR\OCT96\OTHER1.HTM"</definedName>
    <definedName name="HTML42_1" hidden="1">"'[PEOPLE.XLS]£COSTSUM (2)'!$A$2:$I$22"</definedName>
    <definedName name="HTML42_11" hidden="1">1</definedName>
    <definedName name="HTML42_12" hidden="1">"C:\WWW\PIR\OCT96\SUMMARY.HTM"</definedName>
    <definedName name="HTML42_2" hidden="1">-4146</definedName>
    <definedName name="HTML42_3" hidden="1">"C:\WWW\PIR\OCT96\SUMMARY1.HTM"</definedName>
    <definedName name="HTML5_1" hidden="1">"[MANMAY96.XLS]GRADEGP!$A$2:$O$36"</definedName>
    <definedName name="HTML5_11" hidden="1">1</definedName>
    <definedName name="HTML5_12" hidden="1">"C:\WWWMAY\GRADEGP.HTM"</definedName>
    <definedName name="HTML5_2" hidden="1">-4146</definedName>
    <definedName name="HTML5_3" hidden="1">"C:\WWWMAY\GRADEGP1.HTM"</definedName>
    <definedName name="HTML6_1" hidden="1">"'[MANMAY96.XLS]OTHER (2)'!$A$2:$M$24"</definedName>
    <definedName name="HTML6_11" hidden="1">1</definedName>
    <definedName name="HTML6_12" hidden="1">"C:\WWWMAY\OTHER.HTM"</definedName>
    <definedName name="HTML6_2" hidden="1">-4146</definedName>
    <definedName name="HTML6_3" hidden="1">"C:\WWWMAY\OTHER1.HTM"</definedName>
    <definedName name="HTML7_1" hidden="1">"[MANMAY96.XLS]SICK1!$B$21:$G$38"</definedName>
    <definedName name="HTML7_11" hidden="1">1</definedName>
    <definedName name="HTML7_12" hidden="1">"C:\WWWMAY\SICK1.HTM"</definedName>
    <definedName name="HTML7_2" hidden="1">-4146</definedName>
    <definedName name="HTML7_3" hidden="1">"C:\WWWMAY\SICK11.HTM"</definedName>
    <definedName name="HTML8_1" hidden="1">"[MANMAY96.XLS]SICK2!$A$21:$F$41"</definedName>
    <definedName name="HTML8_11" hidden="1">1</definedName>
    <definedName name="HTML8_12" hidden="1">"C:\WWWMAY\SICK2.HTM"</definedName>
    <definedName name="HTML8_2" hidden="1">-4146</definedName>
    <definedName name="HTML8_3" hidden="1">"C:\WWWMAY\SICK21.HTM"</definedName>
    <definedName name="HTML9_1" hidden="1">"'[MANMAY96.XLS]BYMONTH (2)'!$B$1:$R$19"</definedName>
    <definedName name="HTML9_11" hidden="1">1</definedName>
    <definedName name="HTML9_12" hidden="1">"C:\WWWMAY\BYMONTH2.HTM"</definedName>
    <definedName name="HTML9_2" hidden="1">-4146</definedName>
    <definedName name="HTML9_3" hidden="1">"C:\WWWMAY\BYMONTH1.HTM"</definedName>
    <definedName name="HTMLCount" hidden="1">2</definedName>
    <definedName name="l">'[4]Other Forecasts'!$F$17:$N$17</definedName>
    <definedName name="lbl_Comp">[5]Contents!$E$6</definedName>
    <definedName name="lbl_Market1">[5]Contents!$E$15</definedName>
    <definedName name="lbl_Market2">[5]Contents!$E$16</definedName>
    <definedName name="lbl_Market3">[5]Contents!$E$17</definedName>
    <definedName name="limcount" hidden="1">1</definedName>
    <definedName name="million">1000000</definedName>
    <definedName name="mm" hidden="1">{"'100'!$A$1:$M$83"}</definedName>
    <definedName name="mpf_bm">'Other Forecasts'!$G$95:$N$95</definedName>
    <definedName name="mpf_c">'Other Forecasts'!$G$100:$N$100</definedName>
    <definedName name="mpf_hc">'Other Forecasts'!$G$106:$N$106</definedName>
    <definedName name="mpf_hr">'Other Forecasts'!$G$115:$N$115</definedName>
    <definedName name="mpf_np">'Other Forecasts'!$G$85:$N$85</definedName>
    <definedName name="mpf_rb">'Other Forecasts'!$G$111:$N$111</definedName>
    <definedName name="mpf_rentals_total">'Other Forecasts'!$G$80:$N$80</definedName>
    <definedName name="mpf_sc">'Other Forecasts'!$G$107:$N$107</definedName>
    <definedName name="mpf_sm">'Other Forecasts'!$G$90:$N$90</definedName>
    <definedName name="mpf_tc">'Other Forecasts'!$G$119:$N$119</definedName>
    <definedName name="ni_adjustment">Inputs!#REF!</definedName>
    <definedName name="opt_Year">[5]Contents!$E$10</definedName>
    <definedName name="or_btw_fttx">Inputs!$F$66:$N$66</definedName>
    <definedName name="or_fttc">Inputs!#REF!</definedName>
    <definedName name="or_fttc_on_wlr">Inputs!#REF!</definedName>
    <definedName name="or_fttp">Inputs!$F$63:$N$63</definedName>
    <definedName name="or_fttp_internal">Inputs!#REF!</definedName>
    <definedName name="or_internal_fttx">Inputs!$F$66:$N$66</definedName>
    <definedName name="or_mpf">'Rental Forecasts'!$F$38:$N$38</definedName>
    <definedName name="or_mpf_no_uplift">Inputs!$F$25:$N$25</definedName>
    <definedName name="or_smpf">'Rental Forecasts'!$F$39:$N$39</definedName>
    <definedName name="or_smpf_no_uplift">Inputs!$F$28:$N$28</definedName>
    <definedName name="or_wlr">'Rental Forecasts'!$F$37:$N$37</definedName>
    <definedName name="or_wlr_no_uplift">Inputs!$F$24:$N$24</definedName>
    <definedName name="OvrrideAnx16_Units">'[1]Ref Lkups &amp; Overrides'!$B$321:$E$326</definedName>
    <definedName name="OvrrideAnx16_UnitsCOL">'[1]Ref Lkups &amp; Overrides'!$B$320:$E$320</definedName>
    <definedName name="population">'Rental Forecasts'!$F$5:$N$5</definedName>
    <definedName name="res_voice_lines">Inputs!$F$19:$I$19</definedName>
    <definedName name="RWT" hidden="1">"ELF_ACT_%"</definedName>
    <definedName name="scen_BS">Scenarios!$D$11</definedName>
    <definedName name="scen_bus_sites">Scenarios!#REF!</definedName>
    <definedName name="scen_effect_MoHH">Scenarios!$D$9</definedName>
    <definedName name="scen_fibre">Scenarios!#REF!</definedName>
    <definedName name="scen_fibre_forecast">Scenarios!#REF!</definedName>
    <definedName name="scen_HH">Scenarios!#REF!</definedName>
    <definedName name="scen_lines_per_B">Scenarios!$D$18</definedName>
    <definedName name="scen_lines_per_HH">Scenarios!$D$16</definedName>
    <definedName name="scen_MoHH">Scenarios!$D$7</definedName>
    <definedName name="scen_smpf_mig">Scenarios!$D$24</definedName>
    <definedName name="scen_SMPF_MPF">Scenarios!#REF!</definedName>
    <definedName name="scen_tot_bb">Scenarios!$D$20</definedName>
    <definedName name="scen_tot_bt_bb">Scenarios!$D$22</definedName>
    <definedName name="scen_WLR_MPF">Scenarios!#REF!</definedName>
    <definedName name="sencount" hidden="1">1</definedName>
    <definedName name="smpf_bm">'Other Forecasts'!$G$152:$N$152</definedName>
    <definedName name="smpf_c">'Other Forecasts'!$G$157:$N$157</definedName>
    <definedName name="smpf_hc">'Other Forecasts'!$G$163:$N$163</definedName>
    <definedName name="smpf_np">'Other Forecasts'!$G$137:$N$137</definedName>
    <definedName name="SMPF_rentals_total">'Other Forecasts'!$G$123:$N$123</definedName>
    <definedName name="smpf_sc">'Other Forecasts'!$G$164:$N$164</definedName>
    <definedName name="smpf_sim_provide">'Other Forecasts'!#REF!</definedName>
    <definedName name="smpf_simc">'Other Forecasts'!$G$142:$N$142</definedName>
    <definedName name="smpf_simm">'Other Forecasts'!$G$132:$N$132</definedName>
    <definedName name="smpf_sm">'Other Forecasts'!$G$147:$N$147</definedName>
    <definedName name="tot_dsl">Inputs!#REF!</definedName>
    <definedName name="tot_dsl_and_other">Inputs!#REF!</definedName>
    <definedName name="tot_lines">'Rental Forecasts'!$F$43:$I$43</definedName>
    <definedName name="tot_voice_lines">Inputs!$F$21:$I$21</definedName>
    <definedName name="total_mpf_smpf">'Rental Forecasts'!$F$103:$N$103</definedName>
    <definedName name="total_mpf_smpf_no_fibre">'Rental Forecasts'!#REF!</definedName>
    <definedName name="total_mpf_smpf_selected">'Rental Forecasts'!#REF!</definedName>
    <definedName name="trend">#REF!</definedName>
    <definedName name="VM_vols">#REF!</definedName>
    <definedName name="wer">#REF!</definedName>
    <definedName name="wireless2" hidden="1">{"'100'!$A$1:$M$83"}</definedName>
    <definedName name="wlr_bci">'Other Forecasts'!$G$44:$N$44</definedName>
    <definedName name="wlr_bpte">'Other Forecasts'!$G$62:$N$62</definedName>
    <definedName name="wlr_bpti">'Other Forecasts'!$G$58:$N$58</definedName>
    <definedName name="wlr_bre">'Other Forecasts'!$F$27:$N$27</definedName>
    <definedName name="wlr_bri">'Other Forecasts'!$F$23:$N$23</definedName>
    <definedName name="wlr_ce">'Other Forecasts'!$G$54:$N$54</definedName>
    <definedName name="wlr_con">'Other Forecasts'!$G$67:$N$67</definedName>
    <definedName name="wlr_pci">'Other Forecasts'!$G$49:$N$49</definedName>
    <definedName name="wlr_pre">'Other Forecasts'!$F$35:$N$35</definedName>
    <definedName name="wlr_pri">'Other Forecasts'!$F$31:$N$31</definedName>
    <definedName name="WLR_rentals_total">'Other Forecasts'!$G$11:$N$11</definedName>
    <definedName name="wlr_sos_mpf">'Other Forecasts'!$G$76:$N$76</definedName>
    <definedName name="Workbook.Author" localSheetId="2">'Quality Assurance'!#REF!</definedName>
    <definedName name="Workbook.Author">Contents!#REF!</definedName>
    <definedName name="Workbook.Authors_Email_Address" localSheetId="2">'Quality Assurance'!#REF!</definedName>
    <definedName name="Workbook.Authors_Email_Address">#REF!</definedName>
    <definedName name="Workbook.Location">Contents!#REF!</definedName>
    <definedName name="Workbook.Objective" localSheetId="2">'Quality Assurance'!#REF!</definedName>
    <definedName name="Workbook.Objective">Contents!$B$8</definedName>
    <definedName name="Workbook.Status" localSheetId="2">'Quality Assurance'!#REF!</definedName>
    <definedName name="Workbook.Status">Contents!$B$10</definedName>
    <definedName name="Workbook.Title" localSheetId="2">'Quality Assurance'!#REF!</definedName>
    <definedName name="Workbook.Title">Contents!$B$6</definedName>
    <definedName name="Workbook.Version" localSheetId="2">'Quality Assurance'!#REF!</definedName>
    <definedName name="Workbook.Version">Contents!$B$9</definedName>
    <definedName name="wrn.Overview." hidden="1">{"Summary",#N/A,FALSE,"(3) Causal Analysis - Year-end"}</definedName>
    <definedName name="XXX" hidden="1">#REF!</definedName>
  </definedNames>
  <calcPr calcId="125725"/>
</workbook>
</file>

<file path=xl/calcChain.xml><?xml version="1.0" encoding="utf-8"?>
<calcChain xmlns="http://schemas.openxmlformats.org/spreadsheetml/2006/main">
  <c r="H27" i="73"/>
  <c r="I27"/>
  <c r="G27"/>
  <c r="H25"/>
  <c r="I25"/>
  <c r="G25"/>
  <c r="H38" l="1"/>
  <c r="I38"/>
  <c r="G38"/>
  <c r="I160" i="86"/>
  <c r="H160"/>
  <c r="I103"/>
  <c r="H103"/>
  <c r="I7"/>
  <c r="H7"/>
  <c r="O152" l="1"/>
  <c r="I39" i="79" l="1"/>
  <c r="I38"/>
  <c r="I37"/>
  <c r="H39"/>
  <c r="H38"/>
  <c r="H37"/>
  <c r="G39"/>
  <c r="G38"/>
  <c r="G37"/>
  <c r="F39"/>
  <c r="F38"/>
  <c r="F37"/>
  <c r="I66" i="64"/>
  <c r="I82" i="79" s="1"/>
  <c r="H66" i="64"/>
  <c r="H82" i="79" s="1"/>
  <c r="G66" i="64"/>
  <c r="G82" i="79" s="1"/>
  <c r="J26" i="73" l="1"/>
  <c r="I26"/>
  <c r="H26"/>
  <c r="G26"/>
  <c r="I81" i="79"/>
  <c r="I83" s="1"/>
  <c r="H81"/>
  <c r="H83" s="1"/>
  <c r="G81"/>
  <c r="G83" s="1"/>
  <c r="I123" i="86"/>
  <c r="H123"/>
  <c r="G123"/>
  <c r="I155"/>
  <c r="H155"/>
  <c r="G155"/>
  <c r="I150"/>
  <c r="H150"/>
  <c r="G150"/>
  <c r="I145"/>
  <c r="H145"/>
  <c r="G145"/>
  <c r="I135"/>
  <c r="H135"/>
  <c r="G135"/>
  <c r="I118"/>
  <c r="I114"/>
  <c r="H114"/>
  <c r="G114"/>
  <c r="I111"/>
  <c r="H111"/>
  <c r="G111"/>
  <c r="I110"/>
  <c r="H110"/>
  <c r="G110"/>
  <c r="I98"/>
  <c r="H98"/>
  <c r="G98"/>
  <c r="I93"/>
  <c r="H93"/>
  <c r="G93"/>
  <c r="I88"/>
  <c r="H88"/>
  <c r="G88"/>
  <c r="I83"/>
  <c r="H83"/>
  <c r="G83"/>
  <c r="I61"/>
  <c r="H61"/>
  <c r="G61"/>
  <c r="I57"/>
  <c r="H57"/>
  <c r="G57"/>
  <c r="I52"/>
  <c r="H52"/>
  <c r="G52"/>
  <c r="I47"/>
  <c r="H47"/>
  <c r="I42"/>
  <c r="H42"/>
  <c r="G47"/>
  <c r="G42"/>
  <c r="I33"/>
  <c r="H33"/>
  <c r="I29"/>
  <c r="H29"/>
  <c r="I25"/>
  <c r="H25"/>
  <c r="I21"/>
  <c r="H21"/>
  <c r="G33"/>
  <c r="G29"/>
  <c r="G25"/>
  <c r="G21"/>
  <c r="H26" i="79" l="1"/>
  <c r="I26"/>
  <c r="J26"/>
  <c r="K26"/>
  <c r="L26"/>
  <c r="M26"/>
  <c r="N26"/>
  <c r="G26"/>
  <c r="F32" l="1"/>
  <c r="G32"/>
  <c r="H32"/>
  <c r="I32"/>
  <c r="I12"/>
  <c r="J12"/>
  <c r="K12"/>
  <c r="L12"/>
  <c r="M12"/>
  <c r="N12"/>
  <c r="G9"/>
  <c r="H9"/>
  <c r="I9"/>
  <c r="G10"/>
  <c r="H10"/>
  <c r="I10"/>
  <c r="F10"/>
  <c r="F9"/>
  <c r="N5"/>
  <c r="M5"/>
  <c r="L5"/>
  <c r="K5"/>
  <c r="J5"/>
  <c r="I5"/>
  <c r="H5"/>
  <c r="G5"/>
  <c r="F5"/>
  <c r="I15" l="1"/>
  <c r="J32"/>
  <c r="K32" s="1"/>
  <c r="L32" s="1"/>
  <c r="M32" s="1"/>
  <c r="N32" s="1"/>
  <c r="J9" l="1"/>
  <c r="I119" i="86" l="1"/>
  <c r="F42" i="79"/>
  <c r="G63" i="64" l="1"/>
  <c r="G42" i="79" s="1"/>
  <c r="J10" l="1"/>
  <c r="K10" s="1"/>
  <c r="L10" s="1"/>
  <c r="M10" s="1"/>
  <c r="N10" s="1"/>
  <c r="K9"/>
  <c r="L9" l="1"/>
  <c r="I63" i="64"/>
  <c r="I42" i="79" s="1"/>
  <c r="H63" i="64"/>
  <c r="H42" i="79" s="1"/>
  <c r="I17"/>
  <c r="I19" s="1"/>
  <c r="J15"/>
  <c r="J17" s="1"/>
  <c r="J19" s="1"/>
  <c r="K15"/>
  <c r="K17" s="1"/>
  <c r="K19" s="1"/>
  <c r="L15"/>
  <c r="L17" s="1"/>
  <c r="L19" s="1"/>
  <c r="M15"/>
  <c r="M17" s="1"/>
  <c r="M19" s="1"/>
  <c r="N15"/>
  <c r="N17" s="1"/>
  <c r="N19" s="1"/>
  <c r="M23" l="1"/>
  <c r="K23"/>
  <c r="I23"/>
  <c r="N23"/>
  <c r="L23"/>
  <c r="J23"/>
  <c r="N16"/>
  <c r="L16"/>
  <c r="J16"/>
  <c r="H17" s="1"/>
  <c r="M16"/>
  <c r="K16"/>
  <c r="M9"/>
  <c r="I87"/>
  <c r="I89" s="1"/>
  <c r="G87"/>
  <c r="G88" s="1"/>
  <c r="H87"/>
  <c r="H88" s="1"/>
  <c r="G17" l="1"/>
  <c r="F17" s="1"/>
  <c r="H19"/>
  <c r="N9"/>
  <c r="I88"/>
  <c r="H89"/>
  <c r="G89"/>
  <c r="H23" l="1"/>
  <c r="F19"/>
  <c r="G19"/>
  <c r="I27"/>
  <c r="J27"/>
  <c r="K27"/>
  <c r="L27"/>
  <c r="M27"/>
  <c r="N27"/>
  <c r="H27"/>
  <c r="F23" l="1"/>
  <c r="G23"/>
  <c r="I28"/>
  <c r="K28"/>
  <c r="N28"/>
  <c r="J28"/>
  <c r="L28"/>
  <c r="M28"/>
  <c r="F78" l="1"/>
  <c r="F79"/>
  <c r="F77"/>
  <c r="H33"/>
  <c r="G33"/>
  <c r="I33"/>
  <c r="F33"/>
  <c r="J33" l="1"/>
  <c r="I47" l="1"/>
  <c r="H47"/>
  <c r="G47"/>
  <c r="F47"/>
  <c r="I46"/>
  <c r="H46"/>
  <c r="G46"/>
  <c r="F46"/>
  <c r="F41" l="1"/>
  <c r="F43" s="1"/>
  <c r="K33" l="1"/>
  <c r="L33" l="1"/>
  <c r="M33" l="1"/>
  <c r="F21" i="64"/>
  <c r="N33" i="79" l="1"/>
  <c r="F48"/>
  <c r="F49" s="1"/>
  <c r="F51" s="1"/>
  <c r="F52" l="1"/>
  <c r="I157" i="86"/>
  <c r="H157"/>
  <c r="G157"/>
  <c r="I152"/>
  <c r="I35" i="73"/>
  <c r="H35"/>
  <c r="G35"/>
  <c r="I95" i="86"/>
  <c r="H95"/>
  <c r="G95"/>
  <c r="I58"/>
  <c r="H58"/>
  <c r="G58"/>
  <c r="H161" l="1"/>
  <c r="G161"/>
  <c r="I161"/>
  <c r="H162"/>
  <c r="I162"/>
  <c r="I163" s="1"/>
  <c r="H62"/>
  <c r="G62"/>
  <c r="I62"/>
  <c r="G152"/>
  <c r="J152"/>
  <c r="H152"/>
  <c r="G54"/>
  <c r="I54"/>
  <c r="I147"/>
  <c r="H54"/>
  <c r="I164" l="1"/>
  <c r="I41" i="73"/>
  <c r="G162" i="86"/>
  <c r="G163" s="1"/>
  <c r="J162"/>
  <c r="K162" s="1"/>
  <c r="L162" s="1"/>
  <c r="M162" s="1"/>
  <c r="N162" s="1"/>
  <c r="H163"/>
  <c r="H136"/>
  <c r="H137" s="1"/>
  <c r="G136"/>
  <c r="G137" s="1"/>
  <c r="I136"/>
  <c r="I137" s="1"/>
  <c r="K152"/>
  <c r="G147"/>
  <c r="H147"/>
  <c r="I100"/>
  <c r="H100"/>
  <c r="G100"/>
  <c r="H90"/>
  <c r="G90"/>
  <c r="I90"/>
  <c r="I49"/>
  <c r="H44"/>
  <c r="H49"/>
  <c r="G49"/>
  <c r="I44"/>
  <c r="H13"/>
  <c r="H22" s="1"/>
  <c r="I17"/>
  <c r="H17"/>
  <c r="G17"/>
  <c r="G13"/>
  <c r="G26" s="1"/>
  <c r="I13"/>
  <c r="I26" s="1"/>
  <c r="H85"/>
  <c r="G44"/>
  <c r="I115"/>
  <c r="H115"/>
  <c r="I156"/>
  <c r="H156"/>
  <c r="G156"/>
  <c r="G85"/>
  <c r="I85"/>
  <c r="G115"/>
  <c r="G66"/>
  <c r="H104" l="1"/>
  <c r="L152"/>
  <c r="I42" i="73"/>
  <c r="I71" i="86"/>
  <c r="G104"/>
  <c r="I104"/>
  <c r="H164"/>
  <c r="H41" i="73"/>
  <c r="G164" i="86"/>
  <c r="G41" i="73"/>
  <c r="G71" i="86"/>
  <c r="J136"/>
  <c r="H71"/>
  <c r="I105"/>
  <c r="I106" s="1"/>
  <c r="H105"/>
  <c r="H106" s="1"/>
  <c r="K136"/>
  <c r="G32" i="73"/>
  <c r="G33"/>
  <c r="I22" i="86"/>
  <c r="H32" i="73"/>
  <c r="I66" i="86"/>
  <c r="G30" i="73"/>
  <c r="H14" i="86"/>
  <c r="H15" s="1"/>
  <c r="H23" s="1"/>
  <c r="H66"/>
  <c r="H30" i="73"/>
  <c r="I30"/>
  <c r="G22" i="86"/>
  <c r="H26"/>
  <c r="G18"/>
  <c r="I18"/>
  <c r="I19" s="1"/>
  <c r="I30" s="1"/>
  <c r="H18"/>
  <c r="H19" s="1"/>
  <c r="I14"/>
  <c r="I15" s="1"/>
  <c r="I27" s="1"/>
  <c r="G14"/>
  <c r="J115"/>
  <c r="I21" i="73"/>
  <c r="G31"/>
  <c r="H31"/>
  <c r="H33"/>
  <c r="G16"/>
  <c r="H16"/>
  <c r="I16"/>
  <c r="G42" l="1"/>
  <c r="H42"/>
  <c r="M152" i="86"/>
  <c r="I107"/>
  <c r="I39" i="73"/>
  <c r="H107" i="86"/>
  <c r="H39" i="73"/>
  <c r="G105" i="86"/>
  <c r="G106" s="1"/>
  <c r="J105"/>
  <c r="K105" s="1"/>
  <c r="L105" s="1"/>
  <c r="M105" s="1"/>
  <c r="N105" s="1"/>
  <c r="L136"/>
  <c r="J22"/>
  <c r="H27"/>
  <c r="I22" i="73"/>
  <c r="H30" i="86"/>
  <c r="H31" s="1"/>
  <c r="H34"/>
  <c r="H35" s="1"/>
  <c r="M22"/>
  <c r="K22"/>
  <c r="N22"/>
  <c r="L22"/>
  <c r="N26"/>
  <c r="K26"/>
  <c r="I34"/>
  <c r="I35" s="1"/>
  <c r="I31"/>
  <c r="I23"/>
  <c r="M26"/>
  <c r="J26"/>
  <c r="L26"/>
  <c r="L14"/>
  <c r="N14"/>
  <c r="K14"/>
  <c r="M14"/>
  <c r="J14"/>
  <c r="G15"/>
  <c r="G27" s="1"/>
  <c r="N18"/>
  <c r="L18"/>
  <c r="J18"/>
  <c r="G19"/>
  <c r="M18"/>
  <c r="K18"/>
  <c r="K115"/>
  <c r="H6" i="73"/>
  <c r="G17"/>
  <c r="H21"/>
  <c r="H22"/>
  <c r="G19"/>
  <c r="I17"/>
  <c r="H19"/>
  <c r="I19"/>
  <c r="H17"/>
  <c r="G22"/>
  <c r="G21"/>
  <c r="I33"/>
  <c r="I31"/>
  <c r="I32"/>
  <c r="H7" l="1"/>
  <c r="H40"/>
  <c r="I40"/>
  <c r="N152" i="86"/>
  <c r="G7" i="73"/>
  <c r="G107" i="86"/>
  <c r="G39" i="73"/>
  <c r="M136" i="86"/>
  <c r="I37"/>
  <c r="H9" i="73"/>
  <c r="H37" i="86"/>
  <c r="H18" i="73"/>
  <c r="I18"/>
  <c r="G18"/>
  <c r="I43" i="86"/>
  <c r="H43"/>
  <c r="H53"/>
  <c r="H8" i="73"/>
  <c r="H48" i="86"/>
  <c r="I48"/>
  <c r="G23"/>
  <c r="G30"/>
  <c r="G34"/>
  <c r="L115"/>
  <c r="H12" i="73"/>
  <c r="I9"/>
  <c r="G11"/>
  <c r="I8"/>
  <c r="I6"/>
  <c r="I7"/>
  <c r="I53" i="86"/>
  <c r="G40" i="73" l="1"/>
  <c r="N136" i="86"/>
  <c r="I15" i="73"/>
  <c r="H15"/>
  <c r="G35" i="86"/>
  <c r="N34"/>
  <c r="L34"/>
  <c r="J34"/>
  <c r="M34"/>
  <c r="K34"/>
  <c r="G6" i="73"/>
  <c r="G31" i="86"/>
  <c r="M30"/>
  <c r="K30"/>
  <c r="N30"/>
  <c r="L30"/>
  <c r="J30"/>
  <c r="M115"/>
  <c r="H11" i="73"/>
  <c r="H13"/>
  <c r="G12"/>
  <c r="G13"/>
  <c r="H14"/>
  <c r="G43" i="86" l="1"/>
  <c r="G37"/>
  <c r="I14" i="73"/>
  <c r="G48" i="86"/>
  <c r="G9" i="73"/>
  <c r="G53" i="86"/>
  <c r="G8" i="73"/>
  <c r="N115" i="86"/>
  <c r="I13" i="73"/>
  <c r="I12"/>
  <c r="I11"/>
  <c r="I21" i="64" l="1"/>
  <c r="H21"/>
  <c r="G21"/>
  <c r="G14" i="73" l="1"/>
  <c r="J58" i="86"/>
  <c r="G48" i="79"/>
  <c r="G49" s="1"/>
  <c r="I48"/>
  <c r="I49" s="1"/>
  <c r="H48"/>
  <c r="H49" s="1"/>
  <c r="H94"/>
  <c r="I79" l="1"/>
  <c r="I77"/>
  <c r="I78"/>
  <c r="G79"/>
  <c r="G77"/>
  <c r="G78"/>
  <c r="H78"/>
  <c r="H79"/>
  <c r="H77"/>
  <c r="G95"/>
  <c r="G94"/>
  <c r="J62" i="86"/>
  <c r="G15" i="73"/>
  <c r="K58" i="86"/>
  <c r="I94" i="79"/>
  <c r="I95"/>
  <c r="I96"/>
  <c r="G96"/>
  <c r="H96"/>
  <c r="H95"/>
  <c r="J78"/>
  <c r="J77"/>
  <c r="J79"/>
  <c r="K79" l="1"/>
  <c r="K77"/>
  <c r="L77" s="1"/>
  <c r="M77" s="1"/>
  <c r="N77" s="1"/>
  <c r="L79"/>
  <c r="M79" s="1"/>
  <c r="N79" s="1"/>
  <c r="K78"/>
  <c r="L78" s="1"/>
  <c r="M78" s="1"/>
  <c r="N78" s="1"/>
  <c r="N95"/>
  <c r="L95"/>
  <c r="K95"/>
  <c r="M95"/>
  <c r="J95"/>
  <c r="K62" i="86"/>
  <c r="L58"/>
  <c r="I41" i="79"/>
  <c r="I43" s="1"/>
  <c r="I51" s="1"/>
  <c r="G41"/>
  <c r="G43" s="1"/>
  <c r="H41"/>
  <c r="H43" s="1"/>
  <c r="H51" s="1"/>
  <c r="J94"/>
  <c r="K94" s="1"/>
  <c r="L94" s="1"/>
  <c r="M94" s="1"/>
  <c r="N94" s="1"/>
  <c r="J96"/>
  <c r="K96" s="1"/>
  <c r="L96" s="1"/>
  <c r="M96" s="1"/>
  <c r="N96" s="1"/>
  <c r="L62" i="86" l="1"/>
  <c r="M58"/>
  <c r="H52" i="79"/>
  <c r="G51"/>
  <c r="I52"/>
  <c r="F2" i="50"/>
  <c r="M62" i="86" l="1"/>
  <c r="N58"/>
  <c r="G52" i="79"/>
  <c r="N62" i="86" l="1"/>
  <c r="J21" i="73" l="1"/>
  <c r="J31" l="1"/>
  <c r="K21"/>
  <c r="K14" l="1"/>
  <c r="K31"/>
  <c r="L21"/>
  <c r="L31" l="1"/>
  <c r="M21"/>
  <c r="N21"/>
  <c r="L14" l="1"/>
  <c r="M31"/>
  <c r="N31"/>
  <c r="N14" l="1"/>
  <c r="N15" l="1"/>
  <c r="L15"/>
  <c r="M14"/>
  <c r="M15"/>
  <c r="M22"/>
  <c r="N22"/>
  <c r="L22"/>
  <c r="K15"/>
  <c r="K22"/>
  <c r="J15"/>
  <c r="J22"/>
  <c r="J14"/>
  <c r="D22" i="81" l="1"/>
  <c r="E86" i="79" s="1"/>
  <c r="D11" i="81"/>
  <c r="E31" i="79" s="1"/>
  <c r="D7" i="81"/>
  <c r="E8" i="79" s="1"/>
  <c r="F8" s="1"/>
  <c r="F22" s="1"/>
  <c r="D16" i="81"/>
  <c r="E56" i="79" s="1"/>
  <c r="D20" i="81"/>
  <c r="E76" i="79" s="1"/>
  <c r="D18" i="81"/>
  <c r="E63" i="79" s="1"/>
  <c r="D24" i="81"/>
  <c r="E93" i="79" s="1"/>
  <c r="D9" i="81"/>
  <c r="E21" i="79" s="1"/>
  <c r="F31" l="1"/>
  <c r="H31"/>
  <c r="G31"/>
  <c r="I31"/>
  <c r="J31"/>
  <c r="K31"/>
  <c r="L31"/>
  <c r="M31"/>
  <c r="N31"/>
  <c r="M76"/>
  <c r="K76"/>
  <c r="I76"/>
  <c r="G76"/>
  <c r="N76"/>
  <c r="L76"/>
  <c r="J76"/>
  <c r="H76"/>
  <c r="F76"/>
  <c r="H93"/>
  <c r="H126" i="86" s="1"/>
  <c r="J93" i="79"/>
  <c r="J126" i="86" s="1"/>
  <c r="J147" s="1"/>
  <c r="I93" i="79"/>
  <c r="I126" i="86" s="1"/>
  <c r="L93" i="79"/>
  <c r="L126" i="86" s="1"/>
  <c r="L147" s="1"/>
  <c r="K93" i="79"/>
  <c r="K126" i="86" s="1"/>
  <c r="K147" s="1"/>
  <c r="N93" i="79"/>
  <c r="N126" i="86" s="1"/>
  <c r="N147" s="1"/>
  <c r="M93" i="79"/>
  <c r="M126" i="86" s="1"/>
  <c r="M147" s="1"/>
  <c r="G93" i="79"/>
  <c r="G126" i="86" s="1"/>
  <c r="K8" i="79"/>
  <c r="K22" s="1"/>
  <c r="L8"/>
  <c r="L22" s="1"/>
  <c r="G8"/>
  <c r="G22" s="1"/>
  <c r="H8"/>
  <c r="H22" s="1"/>
  <c r="I8"/>
  <c r="I22" s="1"/>
  <c r="J8"/>
  <c r="J22" s="1"/>
  <c r="N8"/>
  <c r="N22" s="1"/>
  <c r="M8"/>
  <c r="M22" s="1"/>
  <c r="I86"/>
  <c r="G86"/>
  <c r="H86"/>
  <c r="G99" l="1"/>
  <c r="G106" s="1"/>
  <c r="F21"/>
  <c r="J21"/>
  <c r="J3" i="86" s="1"/>
  <c r="H21" i="79"/>
  <c r="H3" i="86" s="1"/>
  <c r="L21" i="79"/>
  <c r="L3" i="86" s="1"/>
  <c r="M21" i="79"/>
  <c r="M3" i="86" s="1"/>
  <c r="N21" i="79"/>
  <c r="N3" i="86" s="1"/>
  <c r="I21" i="79"/>
  <c r="I3" i="86" s="1"/>
  <c r="I4" s="1"/>
  <c r="G21" i="79"/>
  <c r="K21"/>
  <c r="K3" i="86" s="1"/>
  <c r="I67" i="79"/>
  <c r="I66"/>
  <c r="I64"/>
  <c r="I65"/>
  <c r="G67"/>
  <c r="G66"/>
  <c r="G65"/>
  <c r="G64"/>
  <c r="H66"/>
  <c r="H65"/>
  <c r="H67"/>
  <c r="H64"/>
  <c r="J87"/>
  <c r="J103"/>
  <c r="J88"/>
  <c r="J89"/>
  <c r="K89" s="1"/>
  <c r="L89" s="1"/>
  <c r="M89" s="1"/>
  <c r="N89" s="1"/>
  <c r="G103"/>
  <c r="H99"/>
  <c r="H106" s="1"/>
  <c r="H103"/>
  <c r="L95" i="86"/>
  <c r="F64" i="79"/>
  <c r="F65"/>
  <c r="F66"/>
  <c r="F67"/>
  <c r="M103"/>
  <c r="K95" i="86"/>
  <c r="I99" i="79"/>
  <c r="I106" s="1"/>
  <c r="I103"/>
  <c r="N103"/>
  <c r="N95" i="86"/>
  <c r="J95"/>
  <c r="L103" i="79"/>
  <c r="K103"/>
  <c r="M95" i="86"/>
  <c r="M18" i="73" l="1"/>
  <c r="J18"/>
  <c r="I80" i="86"/>
  <c r="I72" s="1"/>
  <c r="N18" i="73"/>
  <c r="K18"/>
  <c r="L18"/>
  <c r="H80" i="86"/>
  <c r="H129" s="1"/>
  <c r="K4"/>
  <c r="M4"/>
  <c r="G60" i="79"/>
  <c r="G3" i="86"/>
  <c r="H4" s="1"/>
  <c r="N4"/>
  <c r="L4"/>
  <c r="J4"/>
  <c r="J7"/>
  <c r="K7" s="1"/>
  <c r="L7" s="1"/>
  <c r="M7" s="1"/>
  <c r="N7" s="1"/>
  <c r="I60" i="79"/>
  <c r="I57"/>
  <c r="I94" i="86"/>
  <c r="G20" i="73"/>
  <c r="G80" i="86"/>
  <c r="H94"/>
  <c r="I20" i="73"/>
  <c r="H20"/>
  <c r="J64" i="79"/>
  <c r="K64" s="1"/>
  <c r="L64" s="1"/>
  <c r="M64" s="1"/>
  <c r="N64" s="1"/>
  <c r="J67"/>
  <c r="K67" s="1"/>
  <c r="L67" s="1"/>
  <c r="M67" s="1"/>
  <c r="N67" s="1"/>
  <c r="J65"/>
  <c r="K65" s="1"/>
  <c r="L65" s="1"/>
  <c r="M65" s="1"/>
  <c r="N65" s="1"/>
  <c r="J66"/>
  <c r="K66" s="1"/>
  <c r="L66" s="1"/>
  <c r="M66" s="1"/>
  <c r="N66" s="1"/>
  <c r="G63"/>
  <c r="G71" s="1"/>
  <c r="H57"/>
  <c r="H59"/>
  <c r="G57"/>
  <c r="H58"/>
  <c r="F58"/>
  <c r="F60"/>
  <c r="J60" s="1"/>
  <c r="F59"/>
  <c r="I59"/>
  <c r="G59"/>
  <c r="I58"/>
  <c r="F57"/>
  <c r="G58"/>
  <c r="H60"/>
  <c r="F63"/>
  <c r="F71" s="1"/>
  <c r="H63"/>
  <c r="H71" s="1"/>
  <c r="I63"/>
  <c r="I71" s="1"/>
  <c r="G108"/>
  <c r="H108"/>
  <c r="K87"/>
  <c r="J86"/>
  <c r="I108"/>
  <c r="K88"/>
  <c r="H73" i="86" l="1"/>
  <c r="I84"/>
  <c r="I89"/>
  <c r="I73"/>
  <c r="H89"/>
  <c r="H99"/>
  <c r="H146"/>
  <c r="H84"/>
  <c r="I99"/>
  <c r="I146"/>
  <c r="I129"/>
  <c r="H72"/>
  <c r="H74" s="1"/>
  <c r="K60" i="79"/>
  <c r="L60" s="1"/>
  <c r="M60" s="1"/>
  <c r="N60" s="1"/>
  <c r="I74" i="86"/>
  <c r="G73"/>
  <c r="G72"/>
  <c r="G129"/>
  <c r="G94"/>
  <c r="G99"/>
  <c r="G146"/>
  <c r="G89"/>
  <c r="G84"/>
  <c r="J58" i="79"/>
  <c r="K58" s="1"/>
  <c r="L58" s="1"/>
  <c r="M58" s="1"/>
  <c r="N58" s="1"/>
  <c r="J59"/>
  <c r="K59" s="1"/>
  <c r="L59" s="1"/>
  <c r="M59" s="1"/>
  <c r="N59" s="1"/>
  <c r="J57"/>
  <c r="K57" s="1"/>
  <c r="L57" s="1"/>
  <c r="M57" s="1"/>
  <c r="N57" s="1"/>
  <c r="F56"/>
  <c r="F70" s="1"/>
  <c r="F72" s="1"/>
  <c r="H56"/>
  <c r="H70" s="1"/>
  <c r="H72" s="1"/>
  <c r="H102" s="1"/>
  <c r="H107" s="1"/>
  <c r="J99"/>
  <c r="J106" s="1"/>
  <c r="I56"/>
  <c r="I70" s="1"/>
  <c r="I72" s="1"/>
  <c r="I102" s="1"/>
  <c r="I107" s="1"/>
  <c r="G56"/>
  <c r="G70" s="1"/>
  <c r="G72" s="1"/>
  <c r="G102" s="1"/>
  <c r="G107" s="1"/>
  <c r="I34" i="73"/>
  <c r="H34"/>
  <c r="G34"/>
  <c r="J63" i="79"/>
  <c r="J71" s="1"/>
  <c r="L87"/>
  <c r="K86"/>
  <c r="K99" s="1"/>
  <c r="K106" s="1"/>
  <c r="L88"/>
  <c r="K80" i="86" l="1"/>
  <c r="G10" i="73"/>
  <c r="J80" i="86"/>
  <c r="J129" s="1"/>
  <c r="J132" s="1"/>
  <c r="G74"/>
  <c r="G44" i="73"/>
  <c r="I10"/>
  <c r="J56" i="79"/>
  <c r="J70" s="1"/>
  <c r="J72" s="1"/>
  <c r="H10" i="73"/>
  <c r="J108" i="79"/>
  <c r="J20" i="73"/>
  <c r="J32"/>
  <c r="K63" i="79"/>
  <c r="K71" s="1"/>
  <c r="K56"/>
  <c r="K70" s="1"/>
  <c r="M87"/>
  <c r="L86"/>
  <c r="L99" s="1"/>
  <c r="L106" s="1"/>
  <c r="K129" i="86"/>
  <c r="K132" s="1"/>
  <c r="K20" i="73"/>
  <c r="K108" i="79"/>
  <c r="M88"/>
  <c r="J25" i="73" l="1"/>
  <c r="L80" i="86"/>
  <c r="K25" i="73"/>
  <c r="H44"/>
  <c r="I44"/>
  <c r="J34"/>
  <c r="J123" i="86"/>
  <c r="J137" s="1"/>
  <c r="J100"/>
  <c r="J85"/>
  <c r="L56" i="79"/>
  <c r="L70" s="1"/>
  <c r="L63"/>
  <c r="L71" s="1"/>
  <c r="K72"/>
  <c r="K102" s="1"/>
  <c r="K141" i="86" s="1"/>
  <c r="J102" i="79"/>
  <c r="K85" i="86"/>
  <c r="K100"/>
  <c r="K34" i="73"/>
  <c r="K123" i="86"/>
  <c r="K137" s="1"/>
  <c r="K32" i="73"/>
  <c r="N87" i="79"/>
  <c r="M86"/>
  <c r="M99" s="1"/>
  <c r="M106" s="1"/>
  <c r="L20" i="73"/>
  <c r="L108" i="79"/>
  <c r="L129" i="86"/>
  <c r="L132" s="1"/>
  <c r="N88" i="79"/>
  <c r="M80" i="86" l="1"/>
  <c r="L25" i="73"/>
  <c r="K19"/>
  <c r="K104" i="86"/>
  <c r="K106" s="1"/>
  <c r="J19" i="73"/>
  <c r="J104" i="86"/>
  <c r="J107" i="79"/>
  <c r="J141" i="86"/>
  <c r="J33" i="73"/>
  <c r="K33"/>
  <c r="J90" i="86"/>
  <c r="K16" i="73"/>
  <c r="J16"/>
  <c r="J157" i="86"/>
  <c r="J119"/>
  <c r="M63" i="79"/>
  <c r="M71" s="1"/>
  <c r="M56"/>
  <c r="M70" s="1"/>
  <c r="K107"/>
  <c r="J10" i="73"/>
  <c r="N86" i="79"/>
  <c r="N99" s="1"/>
  <c r="N106" s="1"/>
  <c r="K157" i="86"/>
  <c r="K119"/>
  <c r="L32" i="73"/>
  <c r="L34"/>
  <c r="L123" i="86"/>
  <c r="L137" s="1"/>
  <c r="K90"/>
  <c r="M20" i="73"/>
  <c r="M108" i="79"/>
  <c r="M129" i="86"/>
  <c r="M132" s="1"/>
  <c r="L85"/>
  <c r="L100"/>
  <c r="L72" i="79"/>
  <c r="K17" i="73" l="1"/>
  <c r="K35"/>
  <c r="N80" i="86"/>
  <c r="N129" s="1"/>
  <c r="N132" s="1"/>
  <c r="M25" i="73"/>
  <c r="J35"/>
  <c r="J17"/>
  <c r="J11" i="86"/>
  <c r="J73" s="1"/>
  <c r="K107"/>
  <c r="K39" i="73"/>
  <c r="K30"/>
  <c r="K161" i="86"/>
  <c r="J30" i="73"/>
  <c r="J161" i="86"/>
  <c r="L19" i="73"/>
  <c r="L104" i="86"/>
  <c r="L106" s="1"/>
  <c r="J106"/>
  <c r="J72"/>
  <c r="J15"/>
  <c r="J23" s="1"/>
  <c r="J44" i="73"/>
  <c r="J19" i="86"/>
  <c r="J35" s="1"/>
  <c r="K11"/>
  <c r="L90"/>
  <c r="L33" i="73"/>
  <c r="L16"/>
  <c r="N56" i="79"/>
  <c r="N70" s="1"/>
  <c r="N63"/>
  <c r="N71" s="1"/>
  <c r="K10" i="73"/>
  <c r="N108" i="79"/>
  <c r="N20" i="73"/>
  <c r="L102" i="79"/>
  <c r="M85" i="86"/>
  <c r="M100"/>
  <c r="L157"/>
  <c r="L119"/>
  <c r="M123"/>
  <c r="M137" s="1"/>
  <c r="M32" i="73"/>
  <c r="M34"/>
  <c r="M72" i="79"/>
  <c r="J66" i="86" l="1"/>
  <c r="L35" i="73"/>
  <c r="N25"/>
  <c r="L17"/>
  <c r="K40"/>
  <c r="J27" i="86"/>
  <c r="J107"/>
  <c r="J39" i="73"/>
  <c r="L107" i="86"/>
  <c r="L39" i="73"/>
  <c r="L30"/>
  <c r="L161" i="86"/>
  <c r="M19" i="73"/>
  <c r="M104" i="86"/>
  <c r="M106" s="1"/>
  <c r="L107" i="79"/>
  <c r="L141" i="86"/>
  <c r="K72"/>
  <c r="K73"/>
  <c r="N72" i="79"/>
  <c r="N102" s="1"/>
  <c r="K44" i="73"/>
  <c r="J31" i="86"/>
  <c r="K66"/>
  <c r="K15"/>
  <c r="K27" s="1"/>
  <c r="K19"/>
  <c r="K35" s="1"/>
  <c r="M33" i="73"/>
  <c r="M16"/>
  <c r="N85" i="86"/>
  <c r="N34" i="73"/>
  <c r="N32"/>
  <c r="N100" i="86"/>
  <c r="N123"/>
  <c r="N137" s="1"/>
  <c r="M119"/>
  <c r="M157"/>
  <c r="J7" i="73"/>
  <c r="J9"/>
  <c r="M102" i="79"/>
  <c r="J6" i="73"/>
  <c r="M90" i="86"/>
  <c r="L11" l="1"/>
  <c r="L72" s="1"/>
  <c r="L10" i="73"/>
  <c r="L40"/>
  <c r="J40"/>
  <c r="M17"/>
  <c r="M35"/>
  <c r="J54" i="86"/>
  <c r="J13" i="73" s="1"/>
  <c r="M107" i="86"/>
  <c r="M39" i="73"/>
  <c r="M30"/>
  <c r="M161" i="86"/>
  <c r="N19" i="73"/>
  <c r="N104" i="86"/>
  <c r="N106" s="1"/>
  <c r="M107" i="79"/>
  <c r="M141" i="86"/>
  <c r="N107" i="79"/>
  <c r="N11" i="86" s="1"/>
  <c r="N141"/>
  <c r="L73"/>
  <c r="L44" i="73"/>
  <c r="K67" i="86"/>
  <c r="K31"/>
  <c r="J37"/>
  <c r="J44"/>
  <c r="J8" i="73"/>
  <c r="J49" i="86"/>
  <c r="K23"/>
  <c r="N157"/>
  <c r="N33" i="73"/>
  <c r="N16"/>
  <c r="N119" i="86"/>
  <c r="N90"/>
  <c r="K9" i="73"/>
  <c r="M11" i="86"/>
  <c r="K7" i="73"/>
  <c r="K54" i="86"/>
  <c r="L19"/>
  <c r="L66"/>
  <c r="L15" l="1"/>
  <c r="L23" s="1"/>
  <c r="N17" i="73"/>
  <c r="K26"/>
  <c r="N10"/>
  <c r="M10"/>
  <c r="M44" s="1"/>
  <c r="M40"/>
  <c r="N35"/>
  <c r="J12"/>
  <c r="K8"/>
  <c r="J142" i="86"/>
  <c r="N107"/>
  <c r="N39" i="73"/>
  <c r="N30"/>
  <c r="N161" i="86"/>
  <c r="J11" i="73"/>
  <c r="J71" i="86"/>
  <c r="J74" s="1"/>
  <c r="J76" s="1"/>
  <c r="M72"/>
  <c r="M73"/>
  <c r="N72"/>
  <c r="N73"/>
  <c r="K13" i="73"/>
  <c r="L67" i="86"/>
  <c r="K37"/>
  <c r="K44"/>
  <c r="K49"/>
  <c r="K6" i="73"/>
  <c r="N44"/>
  <c r="N15" i="86"/>
  <c r="N27" s="1"/>
  <c r="N66"/>
  <c r="N19"/>
  <c r="N31" s="1"/>
  <c r="L35"/>
  <c r="L31"/>
  <c r="M15"/>
  <c r="M19"/>
  <c r="M66"/>
  <c r="L27" l="1"/>
  <c r="L7" i="73" s="1"/>
  <c r="K12"/>
  <c r="J38"/>
  <c r="L26"/>
  <c r="N40"/>
  <c r="J163" i="86"/>
  <c r="J27" i="73"/>
  <c r="J164" i="86"/>
  <c r="K11" i="73"/>
  <c r="K142" i="86"/>
  <c r="K71"/>
  <c r="K74" s="1"/>
  <c r="K76" s="1"/>
  <c r="M67"/>
  <c r="L37"/>
  <c r="N35"/>
  <c r="N23"/>
  <c r="N7" i="73"/>
  <c r="N8"/>
  <c r="M23" i="86"/>
  <c r="M27"/>
  <c r="L49"/>
  <c r="L44"/>
  <c r="L6" i="73"/>
  <c r="M31" i="86"/>
  <c r="M35"/>
  <c r="L9" i="73"/>
  <c r="L54" i="86"/>
  <c r="L8" i="73"/>
  <c r="L12" l="1"/>
  <c r="N67" i="86"/>
  <c r="J42" i="73"/>
  <c r="J41"/>
  <c r="K38"/>
  <c r="K163" i="86"/>
  <c r="K164" s="1"/>
  <c r="K27" i="73"/>
  <c r="L11"/>
  <c r="L71" i="86"/>
  <c r="L142"/>
  <c r="L74"/>
  <c r="L76" s="1"/>
  <c r="L13" i="73"/>
  <c r="M26"/>
  <c r="N37" i="86"/>
  <c r="M37"/>
  <c r="N54"/>
  <c r="N9" i="73"/>
  <c r="N49" i="86"/>
  <c r="N6" i="73"/>
  <c r="N44" i="86"/>
  <c r="M8" i="73"/>
  <c r="M7"/>
  <c r="M54" i="86"/>
  <c r="M9" i="73"/>
  <c r="M44" i="86"/>
  <c r="M49"/>
  <c r="M6" i="73"/>
  <c r="M12" l="1"/>
  <c r="L38"/>
  <c r="K42"/>
  <c r="K41"/>
  <c r="N26"/>
  <c r="N12"/>
  <c r="L163" i="86"/>
  <c r="L164" s="1"/>
  <c r="L27" i="73"/>
  <c r="N11"/>
  <c r="N71" i="86"/>
  <c r="N74" s="1"/>
  <c r="N76" s="1"/>
  <c r="N142"/>
  <c r="M11" i="73"/>
  <c r="M142" i="86"/>
  <c r="M71"/>
  <c r="M74" s="1"/>
  <c r="M76" s="1"/>
  <c r="M13" i="73"/>
  <c r="N13"/>
  <c r="M38" l="1"/>
  <c r="N38"/>
  <c r="L42"/>
  <c r="L41"/>
  <c r="M163" i="86"/>
  <c r="M27" i="73"/>
  <c r="N163" i="86"/>
  <c r="N27" i="73"/>
  <c r="N41" l="1"/>
  <c r="M41"/>
  <c r="N164" i="86"/>
  <c r="M164"/>
  <c r="N42" i="73" l="1"/>
  <c r="M42"/>
</calcChain>
</file>

<file path=xl/sharedStrings.xml><?xml version="1.0" encoding="utf-8"?>
<sst xmlns="http://schemas.openxmlformats.org/spreadsheetml/2006/main" count="842" uniqueCount="383">
  <si>
    <t>Sheet</t>
  </si>
  <si>
    <t>Description</t>
  </si>
  <si>
    <t>Status</t>
  </si>
  <si>
    <t>Output</t>
  </si>
  <si>
    <t>Highlight</t>
  </si>
  <si>
    <t>A key result from this part of the model (in particular one that will be used elsewhere in the model)</t>
  </si>
  <si>
    <t>Input Data</t>
  </si>
  <si>
    <t>Style Guidelines</t>
  </si>
  <si>
    <t>Name</t>
  </si>
  <si>
    <t>Note</t>
  </si>
  <si>
    <t>H1</t>
  </si>
  <si>
    <t>H2</t>
  </si>
  <si>
    <t>H3</t>
  </si>
  <si>
    <t>H4</t>
  </si>
  <si>
    <t>Heading level 1</t>
  </si>
  <si>
    <t>Heading level 2</t>
  </si>
  <si>
    <t>Heading level 3</t>
  </si>
  <si>
    <t>Heading level 4</t>
  </si>
  <si>
    <t>Title</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</si>
  <si>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</si>
  <si>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</si>
  <si>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</si>
  <si>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</si>
  <si>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A note (NB smaller than standard font size)</t>
  </si>
  <si>
    <t>Version</t>
  </si>
  <si>
    <t>Objective</t>
  </si>
  <si>
    <t xml:space="preserve">Title </t>
  </si>
  <si>
    <t>Details</t>
  </si>
  <si>
    <t>Author</t>
  </si>
  <si>
    <t>Information</t>
  </si>
  <si>
    <t>History</t>
  </si>
  <si>
    <t>Contents</t>
  </si>
  <si>
    <t>This contents sheet</t>
  </si>
  <si>
    <t xml:space="preserve"> </t>
  </si>
  <si>
    <t>Checksum</t>
  </si>
  <si>
    <t>Verified by</t>
  </si>
  <si>
    <t>Enter name of reviewer</t>
  </si>
  <si>
    <t>Type of QA</t>
  </si>
  <si>
    <t>Self-check by author</t>
  </si>
  <si>
    <t>External QA</t>
  </si>
  <si>
    <t>QA results delivery format</t>
  </si>
  <si>
    <t>Report</t>
  </si>
  <si>
    <t>Presentation</t>
  </si>
  <si>
    <t>Notes to spreadsheet</t>
  </si>
  <si>
    <t>Enter version of workbook checked</t>
  </si>
  <si>
    <t>QA notes</t>
  </si>
  <si>
    <t>Status (issue resolved?)</t>
  </si>
  <si>
    <t>Issue</t>
  </si>
  <si>
    <t>Confidentiality status</t>
  </si>
  <si>
    <t>QA completed but issues to resolve</t>
  </si>
  <si>
    <t>A cell that is highlighted for uncertainty</t>
  </si>
  <si>
    <t>Input</t>
  </si>
  <si>
    <t>Details of modifications introduced</t>
  </si>
  <si>
    <t xml:space="preserve">Date </t>
  </si>
  <si>
    <t>Internal QA - informal</t>
  </si>
  <si>
    <t>Internal QA - formal</t>
  </si>
  <si>
    <t>Yes</t>
  </si>
  <si>
    <t>Date</t>
  </si>
  <si>
    <t>Check input data</t>
  </si>
  <si>
    <t>Check calculations</t>
  </si>
  <si>
    <t>Check methodology</t>
  </si>
  <si>
    <t>Check implementation</t>
  </si>
  <si>
    <t>Enter date review completed</t>
  </si>
  <si>
    <t>Objective of QA</t>
  </si>
  <si>
    <t>Quality Assurance</t>
  </si>
  <si>
    <t>Note or Source</t>
  </si>
  <si>
    <t>Advanced user styles</t>
  </si>
  <si>
    <t>Input assumption</t>
  </si>
  <si>
    <t>Source</t>
  </si>
  <si>
    <t>Named range</t>
  </si>
  <si>
    <t xml:space="preserve">Note </t>
  </si>
  <si>
    <t>A source</t>
  </si>
  <si>
    <t>Styles</t>
  </si>
  <si>
    <t>Un-format</t>
  </si>
  <si>
    <t>Going back to default Excel formatting</t>
  </si>
  <si>
    <t>Version Histrory</t>
  </si>
  <si>
    <t>Project case code</t>
  </si>
  <si>
    <t>Workbook QA</t>
  </si>
  <si>
    <t>None</t>
  </si>
  <si>
    <t>Forecast</t>
  </si>
  <si>
    <t>UK Households</t>
  </si>
  <si>
    <t>Lines</t>
  </si>
  <si>
    <t>Spare</t>
  </si>
  <si>
    <t>High</t>
  </si>
  <si>
    <t>Medium</t>
  </si>
  <si>
    <t>Low</t>
  </si>
  <si>
    <t>Selected</t>
  </si>
  <si>
    <t xml:space="preserve">Population </t>
  </si>
  <si>
    <t>Demographic inputs</t>
  </si>
  <si>
    <t>Units</t>
  </si>
  <si>
    <t>2008/09</t>
  </si>
  <si>
    <t>2009/10</t>
  </si>
  <si>
    <t>2010/11</t>
  </si>
  <si>
    <t>2011/12</t>
  </si>
  <si>
    <t>2012/13</t>
  </si>
  <si>
    <t>2013/14</t>
  </si>
  <si>
    <t>2014/15</t>
  </si>
  <si>
    <t>2015/16</t>
  </si>
  <si>
    <t>2016/17</t>
  </si>
  <si>
    <t>Millions</t>
  </si>
  <si>
    <t>Source: http://www.communities.gov.uk/housing/housingresearch/housingstatistics/housingstatisticsby/householdestimates/livetables-households/</t>
  </si>
  <si>
    <t>Source: http://www.ons.gov.uk/ons/publications/re-reference-tables.html?edition=tcm%3A77-229866</t>
  </si>
  <si>
    <t>Res Voice Lines</t>
  </si>
  <si>
    <t xml:space="preserve">Bus Voice Lines </t>
  </si>
  <si>
    <t>Source: Ofcom Market Intelligence</t>
  </si>
  <si>
    <t xml:space="preserve"> Metallic Path Facility (MPF) New Provides</t>
  </si>
  <si>
    <t xml:space="preserve"> Metallic Path Facility (MPF) Single Migrations</t>
  </si>
  <si>
    <t xml:space="preserve"> Metallic Path Facility (MPF) Bulk Migrations</t>
  </si>
  <si>
    <t xml:space="preserve"> Metallic Path Facility (MPF) Ceases</t>
  </si>
  <si>
    <t xml:space="preserve"> Metallic Path Facility (MPF) Room Build</t>
  </si>
  <si>
    <t xml:space="preserve"> Metallic Path Facility (MPF) Hostel Rentals</t>
  </si>
  <si>
    <t xml:space="preserve"> Metallic Path Facility (MPF) Tie Cables</t>
  </si>
  <si>
    <t>%</t>
  </si>
  <si>
    <t>Total Voice Lines</t>
  </si>
  <si>
    <t>Product</t>
  </si>
  <si>
    <t>Unit</t>
  </si>
  <si>
    <t>Period</t>
  </si>
  <si>
    <t>WLR Basic Rentals Internal</t>
  </si>
  <si>
    <t>WLR Basic Rentals External</t>
  </si>
  <si>
    <t>WLR Premium Rentals Internal</t>
  </si>
  <si>
    <t>WLR Premium Rentals External</t>
  </si>
  <si>
    <t>WLR Basic Connections Internal</t>
  </si>
  <si>
    <t>WLR Premium Connections Internal</t>
  </si>
  <si>
    <t>MPF New provides</t>
  </si>
  <si>
    <t>MPF Single Migrations</t>
  </si>
  <si>
    <t>MPF Bulk Migrations</t>
  </si>
  <si>
    <t>MPF Ceases</t>
  </si>
  <si>
    <t>MPF Rentals</t>
  </si>
  <si>
    <t>MPF Room build</t>
  </si>
  <si>
    <t>MPF Hostel rentals</t>
  </si>
  <si>
    <t>MPF Tie cables</t>
  </si>
  <si>
    <t>SMPF New provides</t>
  </si>
  <si>
    <t>SMPF Single Migrations</t>
  </si>
  <si>
    <t>SMPF Bulk Migrations</t>
  </si>
  <si>
    <t>SMPF Ceases</t>
  </si>
  <si>
    <t>SMPF Rentals</t>
  </si>
  <si>
    <t>Mobile Only Households</t>
  </si>
  <si>
    <t>Small &amp; Med business sites excl unregistered</t>
  </si>
  <si>
    <t>population</t>
  </si>
  <si>
    <t>Business Sites</t>
  </si>
  <si>
    <t>Bus voice lines per Business</t>
  </si>
  <si>
    <t>households</t>
  </si>
  <si>
    <t>business_sites</t>
  </si>
  <si>
    <t>res_voice_lines</t>
  </si>
  <si>
    <t>bus_voice_lines</t>
  </si>
  <si>
    <t>tot_voice_lines</t>
  </si>
  <si>
    <t>OR WLR</t>
  </si>
  <si>
    <t>OR MPF</t>
  </si>
  <si>
    <t>OR SMPF</t>
  </si>
  <si>
    <t>or_wlr</t>
  </si>
  <si>
    <t>or_mpf</t>
  </si>
  <si>
    <t>or_smpf</t>
  </si>
  <si>
    <t>Source: Openreach</t>
  </si>
  <si>
    <t>or_wlr_no_uplift</t>
  </si>
  <si>
    <t>or_mpf_no_uplift</t>
  </si>
  <si>
    <t>or_smpf_no_uplift</t>
  </si>
  <si>
    <t>Scenario</t>
  </si>
  <si>
    <t>Scenarios</t>
  </si>
  <si>
    <t>Input Summary</t>
  </si>
  <si>
    <t>MPF Lines</t>
  </si>
  <si>
    <t>WLR Lines</t>
  </si>
  <si>
    <t>forecast_wlr</t>
  </si>
  <si>
    <t>forecast_mpf</t>
  </si>
  <si>
    <t>WLR Rentals Total</t>
  </si>
  <si>
    <t>SMPF Lines</t>
  </si>
  <si>
    <t>Total MPF + SMPF</t>
  </si>
  <si>
    <t>forecast_smpf</t>
  </si>
  <si>
    <t>WLR Basic and Premium Transfers Internal</t>
  </si>
  <si>
    <t>WLR Basic and Premium Transfers External</t>
  </si>
  <si>
    <t xml:space="preserve">   Population </t>
  </si>
  <si>
    <t xml:space="preserve">   UK Households</t>
  </si>
  <si>
    <t>Forecasts based on a 3 year average growth rate with dampening factor</t>
  </si>
  <si>
    <t xml:space="preserve">   Business Sites</t>
  </si>
  <si>
    <t>total_mpf_smpf</t>
  </si>
  <si>
    <t xml:space="preserve">   Res voice lines per household</t>
  </si>
  <si>
    <t>Forecasts based on a 2 year average growth rate with dampening factor</t>
  </si>
  <si>
    <t>should be zero</t>
  </si>
  <si>
    <t>wlr_bri</t>
  </si>
  <si>
    <t>wlr_bre</t>
  </si>
  <si>
    <t>wlr_pri</t>
  </si>
  <si>
    <t>wlr_pre</t>
  </si>
  <si>
    <t xml:space="preserve">   WLR Rentals</t>
  </si>
  <si>
    <t xml:space="preserve">   MPF</t>
  </si>
  <si>
    <t xml:space="preserve">   SMPF</t>
  </si>
  <si>
    <t>wlr_bci</t>
  </si>
  <si>
    <t>wlr_pci</t>
  </si>
  <si>
    <t>wlr_ce</t>
  </si>
  <si>
    <t>wlr_bpti</t>
  </si>
  <si>
    <t>wlr_bpte</t>
  </si>
  <si>
    <t>mpf_np</t>
  </si>
  <si>
    <t>mpf_sm</t>
  </si>
  <si>
    <t>mpf_bm</t>
  </si>
  <si>
    <t>mpf_c</t>
  </si>
  <si>
    <t>mpf_rb</t>
  </si>
  <si>
    <t>mpf_hr</t>
  </si>
  <si>
    <t>mpf_tc</t>
  </si>
  <si>
    <t>smpf_np</t>
  </si>
  <si>
    <t>smpf_c</t>
  </si>
  <si>
    <t>smpf_bm</t>
  </si>
  <si>
    <t>smpf_sm</t>
  </si>
  <si>
    <t>Household Size (England)</t>
  </si>
  <si>
    <t xml:space="preserve">  People per Household</t>
  </si>
  <si>
    <t>Source: Ofcom CMR</t>
  </si>
  <si>
    <t>Selected Scenario</t>
  </si>
  <si>
    <t>scen_BS</t>
  </si>
  <si>
    <t>scen_lines_per_HH</t>
  </si>
  <si>
    <t>scen_lines_per_B</t>
  </si>
  <si>
    <t>scen_tot_bb</t>
  </si>
  <si>
    <t>Selected Data or Adjustment factor</t>
  </si>
  <si>
    <t xml:space="preserve">   Total UK OR Broadband Lines</t>
  </si>
  <si>
    <t>Forecasts based on a 3 year average growth rate</t>
  </si>
  <si>
    <t>Source: https://www.gov.uk/government/organisations/department-for-business-innovation-skills/series/business-population-estimates</t>
  </si>
  <si>
    <t>Source: Ofcom Market Intelligence, PSTN Only</t>
  </si>
  <si>
    <t>Ratio of Res to Total Lines</t>
  </si>
  <si>
    <t>Voice Lines from OR</t>
  </si>
  <si>
    <t>Source: OR WLR + OR MPF</t>
  </si>
  <si>
    <t>UK Res Voice Lines</t>
  </si>
  <si>
    <t xml:space="preserve">UK Bus Voice Lines </t>
  </si>
  <si>
    <t>UK Total Voice Lines</t>
  </si>
  <si>
    <t>Forecast based on a 3 year average growth rate</t>
  </si>
  <si>
    <t>FTTP lines from OR</t>
  </si>
  <si>
    <t>tot_lines</t>
  </si>
  <si>
    <t>Source: S135 from BT</t>
  </si>
  <si>
    <t>Total MPF + WLR</t>
  </si>
  <si>
    <t>Fibre</t>
  </si>
  <si>
    <t xml:space="preserve">Wholesale premium and basic analogue external service connections. </t>
  </si>
  <si>
    <t>Total Lines from OR</t>
  </si>
  <si>
    <t xml:space="preserve">   Ratio of Bus to Resi Lines</t>
  </si>
  <si>
    <t xml:space="preserve">   Bus voice lines per Business Site</t>
  </si>
  <si>
    <t>Alternative</t>
  </si>
  <si>
    <t>Base</t>
  </si>
  <si>
    <t>Economic inputs</t>
  </si>
  <si>
    <t xml:space="preserve">   GDP</t>
  </si>
  <si>
    <t>Growth</t>
  </si>
  <si>
    <t xml:space="preserve">   Mobile Only Households</t>
  </si>
  <si>
    <t>Source: Actuals Ofcom CMR, Forecast kept constant</t>
  </si>
  <si>
    <t>scen_tot_bt_bb</t>
  </si>
  <si>
    <t>scen_smpf_mig</t>
  </si>
  <si>
    <t>SMPF Migrations</t>
  </si>
  <si>
    <t>Remove Mobile Only HHs</t>
  </si>
  <si>
    <t xml:space="preserve">   Effect of Mobile Only HHs</t>
  </si>
  <si>
    <t>All HHs</t>
  </si>
  <si>
    <t>Predicted OR Res Voice Lines</t>
  </si>
  <si>
    <t xml:space="preserve">Predicted OR Bus Voice Lines </t>
  </si>
  <si>
    <t>BTW SMPF</t>
  </si>
  <si>
    <t xml:space="preserve">   LLU SMPF lines</t>
  </si>
  <si>
    <t>or_fttp</t>
  </si>
  <si>
    <t>FTTP Rentals (mid year)</t>
  </si>
  <si>
    <t>FTTP Rentals (end of year)</t>
  </si>
  <si>
    <t>WLR Basic</t>
  </si>
  <si>
    <t>WLR Premium</t>
  </si>
  <si>
    <t>Forecasts based on a 2 year average with dampening factor</t>
  </si>
  <si>
    <t>Forecast based on average of actual ratios</t>
  </si>
  <si>
    <t>Adjustment factor</t>
  </si>
  <si>
    <t>mpf_rentals_total</t>
  </si>
  <si>
    <t>smpf_rentals_total</t>
  </si>
  <si>
    <t>BTW's mkt share is stable</t>
  </si>
  <si>
    <t>Linear</t>
  </si>
  <si>
    <t xml:space="preserve">   MPF lines</t>
  </si>
  <si>
    <t>SMPF Customer Migrations from MPF</t>
  </si>
  <si>
    <t>Linear extrapolation using least squares method and Forecast()</t>
  </si>
  <si>
    <t>scen_MoHH</t>
  </si>
  <si>
    <t>Effect of MoHH</t>
  </si>
  <si>
    <t>.</t>
  </si>
  <si>
    <t>scen_effect_MoHH</t>
  </si>
  <si>
    <t>Volume demand, Low scenario</t>
  </si>
  <si>
    <t>Volume demand, Medium scenario</t>
  </si>
  <si>
    <t>Volume demand, High scenario</t>
  </si>
  <si>
    <t>Total number of lines</t>
  </si>
  <si>
    <t>WLR Conversions</t>
  </si>
  <si>
    <t>SMPF Simultaneous Provide</t>
  </si>
  <si>
    <t>Source: OBR</t>
  </si>
  <si>
    <t>Volume demand, Current scenario</t>
  </si>
  <si>
    <t>Res voice lines per Household</t>
  </si>
  <si>
    <t>Total Broadband lines</t>
  </si>
  <si>
    <t>Total BTW Broadband lines</t>
  </si>
  <si>
    <t>Total BTW SMPF (or equivalent)</t>
  </si>
  <si>
    <t xml:space="preserve">   Total BTW SMPF Lines (or equivalent)</t>
  </si>
  <si>
    <t>churn</t>
  </si>
  <si>
    <t>Churn rate</t>
  </si>
  <si>
    <t>SMPF LLU Rentals</t>
  </si>
  <si>
    <t>Forecast based on increasing/decreasing market share over time by a flat percentage point increase/decrease</t>
  </si>
  <si>
    <t>Change per Year</t>
  </si>
  <si>
    <t>People per HH</t>
  </si>
  <si>
    <t>Change in Growth</t>
  </si>
  <si>
    <t>Assume delta of people per HH from 11/12 to 12/13 is the same for previous years</t>
  </si>
  <si>
    <t xml:space="preserve">   WLR Connections and Transfers</t>
  </si>
  <si>
    <t>Source: https://www.gov.uk/government/statistical-data-sets/live-tables-on-household-projections</t>
  </si>
  <si>
    <t>GDP</t>
  </si>
  <si>
    <t>Wholesale Premium and Basic Connections External</t>
  </si>
  <si>
    <t>Lines and Services</t>
  </si>
  <si>
    <t>OR Total SMPF</t>
  </si>
  <si>
    <t>OR Internal SMPF</t>
  </si>
  <si>
    <t>Churn</t>
  </si>
  <si>
    <t xml:space="preserve">   Totals</t>
  </si>
  <si>
    <t xml:space="preserve">   Outputs</t>
  </si>
  <si>
    <t xml:space="preserve">   Residential versus Business Split</t>
  </si>
  <si>
    <t>Other Forecasts</t>
  </si>
  <si>
    <t>Outputs</t>
  </si>
  <si>
    <t>Rental Forecasts</t>
  </si>
  <si>
    <t xml:space="preserve">   One off bulk migrations</t>
  </si>
  <si>
    <t xml:space="preserve">   Percentage of Rentals</t>
  </si>
  <si>
    <t>wlr_con</t>
  </si>
  <si>
    <t xml:space="preserve">   WLR Only Rentals</t>
  </si>
  <si>
    <t xml:space="preserve">   Forecast</t>
  </si>
  <si>
    <t>Forecast based on % of rentals in 2011/12</t>
  </si>
  <si>
    <t>Forecast assuming that SMPF line uses 2 tie cables and MPF only uses 1 tie cable</t>
  </si>
  <si>
    <t>Forecast based on increase in GDP growth</t>
  </si>
  <si>
    <t>Reliable historic UK household numbers aren't available so estimate based on people/household</t>
  </si>
  <si>
    <t>Inputs</t>
  </si>
  <si>
    <t>Scenario selection</t>
  </si>
  <si>
    <t>Forecasts of WLR, MPF and SMPF rentals</t>
  </si>
  <si>
    <t>Other forecasts</t>
  </si>
  <si>
    <t>Version 1</t>
  </si>
  <si>
    <t>BTW FTTx Rentals (end of year)</t>
  </si>
  <si>
    <t>BTW FTTx Rentals (mid year)</t>
  </si>
  <si>
    <t>BTW FTTx</t>
  </si>
  <si>
    <t>or_btw_fttx</t>
  </si>
  <si>
    <t>Approved for release</t>
  </si>
  <si>
    <t>LLU and WLR Volumes Forecasts</t>
  </si>
  <si>
    <t>Forecast LLU and WLR Volumes</t>
  </si>
  <si>
    <t>Release Data</t>
  </si>
  <si>
    <t>Ofcom's forecast based on consideration of data gathered using Ofcom's statutory information gathering powers.</t>
  </si>
  <si>
    <t>Forecast follows the reduction in LLU SMPF lines</t>
  </si>
  <si>
    <t>Forecast held constant after 2011/12</t>
  </si>
  <si>
    <t>Forecast fixed to 2011/12 ratio</t>
  </si>
  <si>
    <t>Forecast based on SMPF churn</t>
  </si>
  <si>
    <t>Terms and conditions</t>
  </si>
  <si>
    <t xml:space="preserve">The terms and conditions on which OFCOM is making available the model are set out below.                                      </t>
  </si>
  <si>
    <t xml:space="preserve">                                                </t>
  </si>
  <si>
    <t xml:space="preserve">The LLU and WLR Volumes model has been created solely for the purpose of forecasting volumes of LLU and WLR services to input into the WLR and LLU cost model. As these volume forecasts are based on a hypothetical ongoing copper network they do not represent Ofcom’s view of actual ‘real world’ volumes and should be considered on that basis. </t>
  </si>
  <si>
    <t xml:space="preserve">All right, title and interest in the provided model (the ‘Model’) constructed in Excel to forecast volumes of LLU and WLR services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</si>
  <si>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</si>
  <si>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</si>
  <si>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</si>
  <si>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WLR Start of Stopped MPF line</t>
  </si>
  <si>
    <t>WLR Connections</t>
  </si>
  <si>
    <t>WLR lines due to new households</t>
  </si>
  <si>
    <t>Forecast based on proportion of new households taking WLR instead of MPF</t>
  </si>
  <si>
    <t>WLR lines due to churn from cable</t>
  </si>
  <si>
    <t>Forecast based on churn applied to cable households, accounting for propensity to choose WLR over MPF</t>
  </si>
  <si>
    <t>WLR lines due to home movers</t>
  </si>
  <si>
    <t>New households</t>
  </si>
  <si>
    <t xml:space="preserve">Cable </t>
  </si>
  <si>
    <t>Cable volumes</t>
  </si>
  <si>
    <t>Forecast based on household growth, halved due to size of Virgin's network footprint</t>
  </si>
  <si>
    <t>Source: Virgin Media annual report 2012, available here: http://phx.corporate-ir.net/External.File?item=UGFyZW50SUQ9MTcxMTYzfENoaWxkSUQ9LTF8VHlwZT0z&amp;t=1</t>
  </si>
  <si>
    <t>Households</t>
  </si>
  <si>
    <t>wlr_sos_mpf</t>
  </si>
  <si>
    <t>SMPF Simultaneous Migration</t>
  </si>
  <si>
    <t>Forecast based on a proportion of total WLR new provides - representing the likelihood of a new WLR connection also taking a new SMPF connection at the same time</t>
  </si>
  <si>
    <t>Broadband penetration</t>
  </si>
  <si>
    <t xml:space="preserve"> Metallic Path Facility (MPF) Ceases involving jumper removal (single and bulk)</t>
  </si>
  <si>
    <t>Total MPF ceases</t>
  </si>
  <si>
    <t>% that are hard ceases</t>
  </si>
  <si>
    <t>Forecast based on average hard/soft cease proportion from Openreach data</t>
  </si>
  <si>
    <t>Forecast MPF hard ceases</t>
  </si>
  <si>
    <t>Forecast MPF soft ceases</t>
  </si>
  <si>
    <t>Total SMPF ceases</t>
  </si>
  <si>
    <t>Forecast SMPF hard ceases</t>
  </si>
  <si>
    <t>Forecast SMPF soft ceases</t>
  </si>
  <si>
    <t>SMPF Ceases involving jumper removal (Single and Bulk)</t>
  </si>
  <si>
    <t>mpf_hc</t>
  </si>
  <si>
    <t>mpf_sc</t>
  </si>
  <si>
    <t>smpf_hc</t>
  </si>
  <si>
    <t>smpf_sc</t>
  </si>
  <si>
    <t>Forecast based on the fact that WLR start of stopped WLR lines are not included in WLR Connections</t>
  </si>
  <si>
    <t>Forecast based on migrations from MPF to SMPF, 0 in historic years due to product not being available</t>
  </si>
  <si>
    <t>MPF hard &amp; soft ceases</t>
  </si>
  <si>
    <t>SMPF hard &amp; soft ceases</t>
  </si>
  <si>
    <t>MPF Hard Ceases</t>
  </si>
  <si>
    <t>MPF Soft Ceases</t>
  </si>
  <si>
    <t>smpf_simc</t>
  </si>
  <si>
    <t>WLR &amp; SMPF Simultaneous Connections</t>
  </si>
  <si>
    <t>WLR + SMPF Simultaneous Connections</t>
  </si>
  <si>
    <t>SMPF Hard Ceases</t>
  </si>
  <si>
    <t>SMPF Soft Ceases</t>
  </si>
  <si>
    <t>smpf_simm</t>
  </si>
  <si>
    <t>December 2013</t>
  </si>
  <si>
    <t>Total SMPF volumes</t>
  </si>
  <si>
    <t>Ofcom external volumes</t>
  </si>
  <si>
    <t>Additional Ofcom external volumes</t>
  </si>
  <si>
    <t>Other volumes</t>
  </si>
</sst>
</file>

<file path=xl/styles.xml><?xml version="1.0" encoding="utf-8"?>
<styleSheet xmlns="http://schemas.openxmlformats.org/spreadsheetml/2006/main">
  <numFmts count="80">
    <numFmt numFmtId="41" formatCode="_-* #,##0_-;\-* #,##0_-;_-* &quot;-&quot;_-;_-@_-"/>
    <numFmt numFmtId="44" formatCode="_-&quot;£&quot;* #,##0.00_-;\-&quot;£&quot;* #,##0.00_-;_-&quot;£&quot;* &quot;-&quot;??_-;_-@_-"/>
    <numFmt numFmtId="43" formatCode="_-* #,##0.00_-;\-* #,##0.00_-;_-* &quot;-&quot;??_-;_-@_-"/>
    <numFmt numFmtId="164" formatCode="#,##0_);[Red]\-#,##0_);0_);@_)"/>
    <numFmt numFmtId="165" formatCode="#,##0.00_);[Red]\-#,##0.00_);0.00_);@_)"/>
    <numFmt numFmtId="166" formatCode="#,##0%;[Red]\-#,##0%;0%;@_)"/>
    <numFmt numFmtId="167" formatCode="0.0%"/>
    <numFmt numFmtId="168" formatCode="_-* #,##0_-;\-* #,##0_-;_-* &quot;-&quot;??_-;_-@_-"/>
    <numFmt numFmtId="169" formatCode="#,##0.0;[Red]\-#,##0.0;\-"/>
    <numFmt numFmtId="170" formatCode="#,##0;[Red]\-#,##0;\-"/>
    <numFmt numFmtId="171" formatCode="#,##0.0\ ;[Red]\(#,##0.0\)"/>
    <numFmt numFmtId="172" formatCode="#,##0.00\ ;[Red]\(#,##0.00\)"/>
    <numFmt numFmtId="173" formatCode="_(* #,##0.00_);_(* \(#,##0.00\);_(* &quot;-&quot;??_);_(@_)"/>
    <numFmt numFmtId="174" formatCode="_-\€* #,##0.00_-;\-\€* #,##0.00_-;_-\€* &quot;-&quot;??_-;_-@_-"/>
    <numFmt numFmtId="175" formatCode="* _(#,##0_);[Red]* \(#,##0\);* _(&quot;-&quot;?_);@_)"/>
    <numFmt numFmtId="176" formatCode="* _(#,##0.00_);[Red]* \(#,##0.00\);* _(&quot;-&quot;?_);@_)"/>
    <numFmt numFmtId="177" formatCode="_-\€* #,##0_-;\-\€* #,##0_-;_-\€* &quot;-&quot;_-;_-@_-"/>
    <numFmt numFmtId="178" formatCode="\$\ * _(#,##0_);[Red]\$\ * \(#,##0\);\$\ * _(&quot;-&quot;?_);@_)"/>
    <numFmt numFmtId="179" formatCode="\$\ * _(#,##0.00_);[Red]\$\ * \(#,##0.00\);\$\ * _(&quot;-&quot;?_);@_)"/>
    <numFmt numFmtId="180" formatCode="[$EUR]\ * _(#,##0_);[Red][$EUR]\ * \(#,##0\);[$EUR]\ * _(&quot;-&quot;?_);@_)"/>
    <numFmt numFmtId="181" formatCode="[$EUR]\ * _(#,##0.00_);[Red][$EUR]\ * \(#,##0.00\);[$EUR]\ * _(&quot;-&quot;?_);@_)"/>
    <numFmt numFmtId="182" formatCode="\€\ * _(#,##0_);[Red]\€\ * \(#,##0\);\€\ * _(&quot;-&quot;?_);@_)"/>
    <numFmt numFmtId="183" formatCode="\€\ * _(#,##0.00_);[Red]\€\ * \(#,##0.00\);\€\ * _(&quot;-&quot;?_);@_)"/>
    <numFmt numFmtId="184" formatCode="[$GBP]\ * _(#,##0_);[Red][$GBP]\ * \(#,##0\);[$GBP]\ * _(&quot;-&quot;?_);@_)"/>
    <numFmt numFmtId="185" formatCode="[$GBP]\ * _(#,##0.00_);[Red][$GBP]\ * \(#,##0.00\);[$GBP]\ * _(&quot;-&quot;?_);@_)"/>
    <numFmt numFmtId="186" formatCode="\£\ * _(#,##0_);[Red]\£\ * \(#,##0\);\£\ * _(&quot;-&quot;?_);@_)"/>
    <numFmt numFmtId="187" formatCode="\£\ * _(#,##0.00_);[Red]\£\ * \(#,##0.00\);\£\ * _(&quot;-&quot;?_);@_)"/>
    <numFmt numFmtId="188" formatCode="[$USD]\ * _(#,##0_);[Red][$USD]\ * \(#,##0\);[$USD]\ * _(&quot;-&quot;?_);@_)"/>
    <numFmt numFmtId="189" formatCode="[$USD]\ * _(#,##0.00_);[Red][$USD]\ * \(#,##0.00\);[$USD]\ * _(&quot;-&quot;?_);@_)"/>
    <numFmt numFmtId="190" formatCode="dd\ mmm\ yy_)"/>
    <numFmt numFmtId="191" formatCode="mmm\ yy_)"/>
    <numFmt numFmtId="192" formatCode="yyyy_)"/>
    <numFmt numFmtId="193" formatCode="#,##0;\-#,##0;\-"/>
    <numFmt numFmtId="194" formatCode="0.00_)"/>
    <numFmt numFmtId="195" formatCode="#,##0.00%;[Red]\-#,##0.00%;0.00%;@_)"/>
    <numFmt numFmtId="196" formatCode="0.00%;[Red]\-0.00%"/>
    <numFmt numFmtId="197" formatCode="_ * #,##0_ ;_ * \-#,##0_ ;_ * &quot;-&quot;_ ;_ @_ "/>
    <numFmt numFmtId="198" formatCode="###\ ###\ ###\ ##0"/>
    <numFmt numFmtId="199" formatCode="#,##0.0%;[Red]\-#,##0.0%;0.0%;@_)"/>
    <numFmt numFmtId="200" formatCode="0.000"/>
    <numFmt numFmtId="201" formatCode="_ &quot;\&quot;* #,##0_ ;_ &quot;\&quot;* \-#,##0_ ;_ &quot;\&quot;* &quot;-&quot;_ ;_ @_ "/>
    <numFmt numFmtId="202" formatCode="_ &quot;\&quot;* #,##0.00_ ;_ &quot;\&quot;* \-#,##0.00_ ;_ &quot;\&quot;* &quot;-&quot;??_ ;_ @_ "/>
    <numFmt numFmtId="203" formatCode="_ * #,##0.00_ ;_ * \-#,##0.00_ ;_ * &quot;-&quot;??_ ;_ @_ "/>
    <numFmt numFmtId="204" formatCode="_-* #,##0_-;_-* #,##0_-;"/>
    <numFmt numFmtId="205" formatCode="#,##0;\(#,##0\)"/>
    <numFmt numFmtId="206" formatCode="#,##0_ ;\(#,##0\);\-\ "/>
    <numFmt numFmtId="207" formatCode="###0_);[Red]\(###0\)"/>
    <numFmt numFmtId="208" formatCode="0.0"/>
    <numFmt numFmtId="209" formatCode="_ * #,##0.00_)&quot;L&quot;_ ;_ * \(#,##0.00\)&quot;L&quot;_ ;_ * &quot;-&quot;??_)&quot;L&quot;_ ;_ @_ "/>
    <numFmt numFmtId="210" formatCode="_-* #,##0_-;\(#,##0\)_-;_-* &quot;-&quot;_-;_-@_-"/>
    <numFmt numFmtId="211" formatCode="#,###,&quot;,000&quot;;\(#,###,&quot;,000&quot;\);\-"/>
    <numFmt numFmtId="212" formatCode="_-* #,##0.0_-;\-* #,##0.0_-;_-* &quot;-&quot;?_-;_-@_-"/>
    <numFmt numFmtId="213" formatCode="_(&quot;$&quot;* #,##0_);_(&quot;$&quot;* \(#,##0\);_(&quot;$&quot;* &quot;-&quot;_);_(@_)"/>
    <numFmt numFmtId="214" formatCode="_(&quot;$&quot;* #,##0.00_);_(&quot;$&quot;* \(#,##0.00\);_(&quot;$&quot;* &quot;-&quot;??_);_(@_)"/>
    <numFmt numFmtId="215" formatCode="#,###,##0;\(#,###,##0\);\-"/>
    <numFmt numFmtId="216" formatCode="0.00%;\(0.00%\);\-"/>
    <numFmt numFmtId="217" formatCode="_-[$€-2]* #,##0.00_-;\-[$€-2]* #,##0.00_-;_-[$€-2]* &quot;-&quot;??_-"/>
    <numFmt numFmtId="218" formatCode="#,##0_ ;[Red]\(#,##0\);\-\ "/>
    <numFmt numFmtId="219" formatCode="_-#,##0&quot; hours&quot;"/>
    <numFmt numFmtId="220" formatCode="_-#,##0.0&quot; max&quot;"/>
    <numFmt numFmtId="221" formatCode="_-* #,##0_ _F_-;\-* #,##0_ _F_-;_-* &quot;-&quot;_ _F_-;_-@_-"/>
    <numFmt numFmtId="222" formatCode="_-* #,##0.00_ _F_-;\-* #,##0.00_ _F_-;_-* &quot;-&quot;??_ _F_-;_-@_-"/>
    <numFmt numFmtId="223" formatCode="_-* #,##0&quot; F&quot;_-;\-* #,##0&quot; F&quot;_-;_-* &quot;-&quot;&quot; F&quot;_-;_-@_-"/>
    <numFmt numFmtId="224" formatCode="_-* #,##0.00&quot; F&quot;_-;\-* #,##0.00&quot; F&quot;_-;_-* &quot;-&quot;??&quot; F&quot;_-;_-@_-"/>
    <numFmt numFmtId="225" formatCode="_-#,##0&quot; months&quot;"/>
    <numFmt numFmtId="226" formatCode="_-#,##0&quot;MW&quot;"/>
    <numFmt numFmtId="227" formatCode="_-#,##0&quot;MWth&quot;"/>
    <numFmt numFmtId="228" formatCode="_(* #,##0.0_);_(* \(#,##0.0\);_(* &quot;-&quot;?_);_(@_)"/>
    <numFmt numFmtId="229" formatCode="\+#,##0.0;\-#,##0.0;"/>
    <numFmt numFmtId="230" formatCode="#,##0&quot;£&quot;_);[Red]\(#,##0&quot;£&quot;\)"/>
    <numFmt numFmtId="231" formatCode="General_)"/>
    <numFmt numFmtId="232" formatCode="_-#,##0&quot; t&quot;"/>
    <numFmt numFmtId="233" formatCode="0.0\x"/>
    <numFmt numFmtId="234" formatCode="yyyy"/>
    <numFmt numFmtId="235" formatCode="_-#,##0&quot; years&quot;"/>
    <numFmt numFmtId="236" formatCode="0.0000"/>
    <numFmt numFmtId="237" formatCode="_-* #,##0.000_-;\-* #,##0.000_-;_-* &quot;-&quot;??_-;_-@_-"/>
    <numFmt numFmtId="238" formatCode="#,##0.000"/>
    <numFmt numFmtId="239" formatCode="_-* #,##0.000000_-;\-* #,##0.000000_-;_-* &quot;-&quot;??_-;_-@_-"/>
    <numFmt numFmtId="240" formatCode="_-* #,##0.000000_-;\-* #,##0.000000_-;_-* &quot;-&quot;??????_-;_-@_-"/>
  </numFmts>
  <fonts count="126">
    <font>
      <sz val="9"/>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u/>
      <sz val="9"/>
      <name val="Arial"/>
      <family val="2"/>
    </font>
    <font>
      <i/>
      <sz val="9"/>
      <color indexed="16"/>
      <name val="Arial"/>
      <family val="2"/>
    </font>
    <font>
      <i/>
      <sz val="9"/>
      <name val="Arial"/>
      <family val="2"/>
    </font>
    <font>
      <sz val="9"/>
      <name val="Verdana"/>
      <family val="2"/>
    </font>
    <font>
      <sz val="6.3"/>
      <color indexed="63"/>
      <name val="Verdana"/>
      <family val="2"/>
    </font>
    <font>
      <i/>
      <sz val="9"/>
      <color indexed="10"/>
      <name val="Arial"/>
      <family val="2"/>
    </font>
    <font>
      <sz val="8"/>
      <color indexed="10"/>
      <name val="Arial"/>
      <family val="2"/>
    </font>
    <font>
      <i/>
      <sz val="9"/>
      <color rgb="FF969696"/>
      <name val="Arial"/>
      <family val="2"/>
    </font>
    <font>
      <sz val="10"/>
      <name val="Arial"/>
      <family val="2"/>
    </font>
    <font>
      <b/>
      <sz val="8"/>
      <name val="Arial"/>
      <family val="2"/>
    </font>
    <font>
      <sz val="12"/>
      <name val="Arial"/>
      <family val="2"/>
    </font>
    <font>
      <sz val="11"/>
      <color indexed="8"/>
      <name val="Calibri"/>
      <family val="2"/>
    </font>
    <font>
      <sz val="9"/>
      <color rgb="FFFF0000"/>
      <name val="Arial"/>
      <family val="2"/>
    </font>
    <font>
      <i/>
      <sz val="9"/>
      <color rgb="FFFF0000"/>
      <name val="Arial"/>
      <family val="2"/>
    </font>
    <font>
      <sz val="10"/>
      <color indexed="10"/>
      <name val="Times New Roman"/>
      <family val="1"/>
    </font>
    <font>
      <b/>
      <sz val="10"/>
      <color theme="6" tint="-0.499984740745262"/>
      <name val="Arial"/>
      <family val="2"/>
    </font>
    <font>
      <sz val="10"/>
      <color theme="6" tint="-0.499984740745262"/>
      <name val="Arial"/>
      <family val="2"/>
    </font>
    <font>
      <b/>
      <sz val="10"/>
      <name val="Times New Roman"/>
      <family val="1"/>
    </font>
    <font>
      <sz val="10"/>
      <name val="Times New Roman"/>
      <family val="1"/>
    </font>
    <font>
      <sz val="12"/>
      <name val="Times New Roman"/>
      <family val="1"/>
    </font>
    <font>
      <sz val="10"/>
      <color rgb="FF0000FF"/>
      <name val="Arial"/>
      <family val="2"/>
    </font>
    <font>
      <sz val="10"/>
      <color indexed="12"/>
      <name val="Arial"/>
      <family val="2"/>
    </font>
    <font>
      <b/>
      <sz val="22"/>
      <color theme="8" tint="-0.499984740745262"/>
      <name val="Arial"/>
      <family val="2"/>
    </font>
    <font>
      <b/>
      <sz val="48"/>
      <color theme="8" tint="-0.499984740745262"/>
      <name val="Arial"/>
      <family val="2"/>
    </font>
    <font>
      <b/>
      <sz val="12"/>
      <color theme="8" tint="-0.499984740745262"/>
      <name val="Arial"/>
      <family val="2"/>
    </font>
    <font>
      <b/>
      <sz val="11"/>
      <color theme="8" tint="-0.499984740745262"/>
      <name val="Arial"/>
      <family val="2"/>
    </font>
    <font>
      <b/>
      <sz val="10"/>
      <name val="Arial"/>
      <family val="2"/>
    </font>
    <font>
      <u/>
      <sz val="7.9"/>
      <color indexed="12"/>
      <name val="Arial"/>
      <family val="2"/>
    </font>
    <font>
      <u/>
      <sz val="7.65"/>
      <color indexed="12"/>
      <name val="Arial"/>
      <family val="2"/>
    </font>
    <font>
      <sz val="10"/>
      <color indexed="12"/>
      <name val="Times New Roman"/>
      <family val="1"/>
    </font>
    <font>
      <sz val="10"/>
      <color theme="3" tint="-0.24994659260841701"/>
      <name val="Arial"/>
      <family val="2"/>
    </font>
    <font>
      <sz val="10"/>
      <color theme="3" tint="-0.499984740745262"/>
      <name val="Arial"/>
      <family val="2"/>
    </font>
    <font>
      <b/>
      <sz val="18"/>
      <name val="Times New Roman"/>
      <family val="1"/>
    </font>
    <font>
      <i/>
      <sz val="10"/>
      <color indexed="16"/>
      <name val="Times New Roman"/>
      <family val="1"/>
    </font>
    <font>
      <b/>
      <i/>
      <sz val="16"/>
      <name val="Helv"/>
    </font>
    <font>
      <sz val="9"/>
      <color theme="6" tint="-0.499984740745262"/>
      <name val="Arial"/>
      <family val="2"/>
    </font>
    <font>
      <sz val="9"/>
      <color theme="0" tint="-0.34998626667073579"/>
      <name val="Arial"/>
      <family val="2"/>
    </font>
    <font>
      <sz val="11"/>
      <color rgb="FF3F3F3F"/>
      <name val="Calibri"/>
      <family val="2"/>
      <scheme val="minor"/>
    </font>
    <font>
      <b/>
      <sz val="16"/>
      <color indexed="59"/>
      <name val="Arial"/>
      <family val="2"/>
    </font>
    <font>
      <sz val="10"/>
      <name val="MS Sans Serif"/>
      <family val="2"/>
    </font>
    <font>
      <b/>
      <sz val="14"/>
      <name val="Times New Roman"/>
      <family val="1"/>
    </font>
    <font>
      <b/>
      <sz val="11"/>
      <color indexed="30"/>
      <name val="Arial"/>
      <family val="2"/>
    </font>
    <font>
      <b/>
      <sz val="10"/>
      <color indexed="59"/>
      <name val="Arial"/>
      <family val="2"/>
    </font>
    <font>
      <sz val="12"/>
      <name val="바탕체"/>
      <family val="1"/>
      <charset val="129"/>
    </font>
    <font>
      <b/>
      <sz val="10"/>
      <name val="Verdana"/>
      <family val="2"/>
    </font>
    <font>
      <sz val="10"/>
      <name val="Verdana"/>
      <family val="2"/>
    </font>
    <font>
      <b/>
      <i/>
      <sz val="9"/>
      <color rgb="FFFF0000"/>
      <name val="Arial"/>
      <family val="2"/>
    </font>
    <font>
      <sz val="11"/>
      <color rgb="FF3F3F76"/>
      <name val="Calibri"/>
      <family val="2"/>
      <scheme val="minor"/>
    </font>
    <font>
      <u/>
      <sz val="9"/>
      <color theme="10"/>
      <name val="Arial"/>
      <family val="2"/>
    </font>
    <font>
      <sz val="10"/>
      <name val="Helv"/>
      <charset val="204"/>
    </font>
    <font>
      <sz val="10"/>
      <name val="Helv"/>
      <family val="2"/>
    </font>
    <font>
      <sz val="11"/>
      <name val="µ¸¿ò"/>
      <family val="3"/>
    </font>
    <font>
      <sz val="12"/>
      <name val="Tms Rmn"/>
      <family val="1"/>
    </font>
    <font>
      <sz val="12"/>
      <name val="¹ÙÅÁÃ¼"/>
      <family val="1"/>
    </font>
    <font>
      <sz val="11"/>
      <name val="Arial"/>
      <family val="2"/>
    </font>
    <font>
      <sz val="12"/>
      <name val="宋体"/>
      <charset val="134"/>
    </font>
    <font>
      <sz val="10"/>
      <name val="MS Serif"/>
      <family val="1"/>
    </font>
    <font>
      <sz val="10"/>
      <color indexed="62"/>
      <name val="Arial"/>
      <family val="2"/>
    </font>
    <font>
      <sz val="10"/>
      <color indexed="62"/>
      <name val="Book Antiqua"/>
      <family val="1"/>
    </font>
    <font>
      <sz val="10"/>
      <color indexed="8"/>
      <name val="Helv"/>
      <family val="2"/>
    </font>
    <font>
      <sz val="10"/>
      <color indexed="16"/>
      <name val="MS Serif"/>
      <family val="1"/>
    </font>
    <font>
      <sz val="9"/>
      <color indexed="12"/>
      <name val="Arial"/>
      <family val="2"/>
    </font>
    <font>
      <b/>
      <sz val="14"/>
      <name val="Comic Sans MS"/>
      <family val="4"/>
    </font>
    <font>
      <sz val="10"/>
      <color indexed="23"/>
      <name val="Arial"/>
      <family val="2"/>
    </font>
    <font>
      <sz val="11"/>
      <color indexed="23"/>
      <name val="Arial"/>
      <family val="2"/>
    </font>
    <font>
      <b/>
      <sz val="30"/>
      <color theme="3"/>
      <name val="Calibri"/>
      <family val="2"/>
      <scheme val="minor"/>
    </font>
    <font>
      <b/>
      <i/>
      <sz val="16"/>
      <color indexed="9"/>
      <name val="Bookman Old Style"/>
      <family val="1"/>
    </font>
    <font>
      <b/>
      <sz val="14"/>
      <color indexed="9"/>
      <name val="Bookman Old Style"/>
      <family val="1"/>
    </font>
    <font>
      <b/>
      <sz val="12"/>
      <color indexed="8"/>
      <name val="Bookman Old Style"/>
      <family val="1"/>
    </font>
    <font>
      <b/>
      <sz val="9"/>
      <name val="Helv"/>
    </font>
    <font>
      <sz val="9"/>
      <name val="Helv"/>
    </font>
    <font>
      <u/>
      <sz val="10"/>
      <color indexed="12"/>
      <name val="Arial"/>
      <family val="2"/>
    </font>
    <font>
      <sz val="10"/>
      <color indexed="24"/>
      <name val="Arial"/>
      <family val="2"/>
    </font>
    <font>
      <sz val="9"/>
      <name val="Times New Roman"/>
      <family val="1"/>
    </font>
    <font>
      <sz val="18"/>
      <name val="Times New Roman"/>
      <family val="1"/>
    </font>
    <font>
      <b/>
      <i/>
      <sz val="12"/>
      <name val="Times New Roman"/>
      <family val="1"/>
    </font>
    <font>
      <i/>
      <sz val="12"/>
      <name val="Times New Roman"/>
      <family val="1"/>
    </font>
    <font>
      <sz val="11"/>
      <name val="Times New Roman"/>
      <family val="1"/>
    </font>
    <font>
      <sz val="8"/>
      <color indexed="56"/>
      <name val="Book Antiqua"/>
      <family val="1"/>
    </font>
    <font>
      <b/>
      <sz val="18"/>
      <color indexed="18"/>
      <name val="Arial"/>
      <family val="2"/>
    </font>
    <font>
      <sz val="10"/>
      <name val="Helv"/>
    </font>
    <font>
      <sz val="10"/>
      <name val="Geneva"/>
      <family val="2"/>
    </font>
    <font>
      <sz val="11"/>
      <color indexed="24"/>
      <name val="Arial"/>
      <family val="2"/>
    </font>
    <font>
      <sz val="7"/>
      <color indexed="55"/>
      <name val="Bookman Old Style"/>
      <family val="1"/>
    </font>
    <font>
      <sz val="7"/>
      <name val="Small Fonts"/>
      <family val="2"/>
    </font>
    <font>
      <b/>
      <sz val="14"/>
      <color indexed="9"/>
      <name val="Book Antiqua"/>
      <family val="1"/>
    </font>
    <font>
      <b/>
      <sz val="14"/>
      <color indexed="62"/>
      <name val="Arial"/>
      <family val="2"/>
    </font>
    <font>
      <b/>
      <sz val="8"/>
      <name val="Arial Narrow"/>
      <family val="2"/>
    </font>
    <font>
      <sz val="10"/>
      <color indexed="18"/>
      <name val="Times New Roman"/>
      <family val="1"/>
    </font>
    <font>
      <b/>
      <sz val="12"/>
      <name val="MS Sans Serif"/>
      <family val="2"/>
    </font>
    <font>
      <sz val="12"/>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i/>
      <sz val="10"/>
      <name val="Arial"/>
      <family val="2"/>
    </font>
    <font>
      <b/>
      <sz val="11"/>
      <name val="Arial"/>
      <family val="2"/>
    </font>
    <font>
      <b/>
      <sz val="16"/>
      <color indexed="9"/>
      <name val="Arial"/>
      <family val="2"/>
    </font>
    <font>
      <b/>
      <sz val="16"/>
      <color indexed="24"/>
      <name val="Univers 45 Light"/>
      <family val="2"/>
    </font>
    <font>
      <b/>
      <sz val="16"/>
      <color indexed="62"/>
      <name val="Arial"/>
      <family val="2"/>
    </font>
    <font>
      <sz val="7"/>
      <color indexed="8"/>
      <name val="Arial"/>
      <family val="2"/>
    </font>
    <font>
      <sz val="10"/>
      <name val="Calibri"/>
      <family val="2"/>
      <scheme val="minor"/>
    </font>
    <font>
      <b/>
      <sz val="10"/>
      <name val="Calibri"/>
      <family val="2"/>
      <scheme val="minor"/>
    </font>
    <font>
      <b/>
      <sz val="10"/>
      <color rgb="FF0070C0"/>
      <name val="Calibri"/>
      <family val="2"/>
      <scheme val="minor"/>
    </font>
    <font>
      <b/>
      <sz val="10"/>
      <color rgb="FF7030A0"/>
      <name val="Calibri"/>
      <family val="2"/>
      <scheme val="minor"/>
    </font>
    <font>
      <i/>
      <sz val="10"/>
      <name val="Calibri"/>
      <family val="2"/>
      <scheme val="minor"/>
    </font>
    <font>
      <sz val="10"/>
      <color indexed="22"/>
      <name val="Calibri"/>
      <family val="2"/>
      <scheme val="minor"/>
    </font>
    <font>
      <i/>
      <sz val="9"/>
      <color indexed="55"/>
      <name val="Arial"/>
      <family val="2"/>
    </font>
    <font>
      <b/>
      <sz val="10"/>
      <color theme="0"/>
      <name val="Calibri"/>
      <family val="2"/>
      <scheme val="minor"/>
    </font>
    <font>
      <b/>
      <i/>
      <sz val="9"/>
      <color indexed="16"/>
      <name val="Arial"/>
      <family val="2"/>
    </font>
    <font>
      <i/>
      <u/>
      <sz val="9"/>
      <name val="Arial"/>
      <family val="2"/>
    </font>
    <font>
      <i/>
      <sz val="8"/>
      <color theme="0" tint="-0.499984740745262"/>
      <name val="Arial"/>
      <family val="2"/>
    </font>
    <font>
      <b/>
      <sz val="11"/>
      <name val="Calibri"/>
      <family val="2"/>
      <scheme val="minor"/>
    </font>
    <font>
      <sz val="9"/>
      <color indexed="10"/>
      <name val="Calibri"/>
      <family val="2"/>
      <scheme val="minor"/>
    </font>
  </fonts>
  <fills count="6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E8D9E8"/>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gray0625">
        <fgColor indexed="15"/>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theme="6" tint="0.59996337778862885"/>
        <bgColor indexed="64"/>
      </patternFill>
    </fill>
    <fill>
      <patternFill patternType="solid">
        <fgColor theme="0" tint="-4.9989318521683403E-2"/>
        <bgColor auto="1"/>
      </patternFill>
    </fill>
    <fill>
      <patternFill patternType="solid">
        <fgColor rgb="FFF2F2F2"/>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rgb="FFFFFF00"/>
        <bgColor indexed="64"/>
      </patternFill>
    </fill>
    <fill>
      <patternFill patternType="solid">
        <fgColor rgb="FFFFCC9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1" tint="0.89999084444715716"/>
        <bgColor indexed="64"/>
      </patternFill>
    </fill>
    <fill>
      <patternFill patternType="solid">
        <fgColor indexed="27"/>
        <bgColor indexed="64"/>
      </patternFill>
    </fill>
    <fill>
      <patternFill patternType="solid">
        <fgColor indexed="28"/>
        <bgColor indexed="64"/>
      </patternFill>
    </fill>
    <fill>
      <patternFill patternType="solid">
        <fgColor indexed="31"/>
        <bgColor indexed="64"/>
      </patternFill>
    </fill>
    <fill>
      <patternFill patternType="solid">
        <fgColor indexed="43"/>
        <bgColor indexed="64"/>
      </patternFill>
    </fill>
    <fill>
      <patternFill patternType="solid">
        <fgColor rgb="FFFF0066"/>
        <bgColor indexed="64"/>
      </patternFill>
    </fill>
    <fill>
      <patternFill patternType="solid">
        <fgColor indexed="53"/>
        <bgColor indexed="64"/>
      </patternFill>
    </fill>
    <fill>
      <patternFill patternType="solid">
        <fgColor indexed="15"/>
        <bgColor indexed="64"/>
      </patternFill>
    </fill>
    <fill>
      <patternFill patternType="solid">
        <fgColor indexed="23"/>
        <bgColor indexed="64"/>
      </patternFill>
    </fill>
    <fill>
      <patternFill patternType="solid">
        <fgColor theme="0" tint="-0.14996795556505021"/>
        <bgColor indexed="64"/>
      </patternFill>
    </fill>
    <fill>
      <patternFill patternType="solid">
        <fgColor indexed="18"/>
        <bgColor indexed="64"/>
      </patternFill>
    </fill>
    <fill>
      <patternFill patternType="solid">
        <fgColor indexed="9"/>
        <bgColor indexed="9"/>
      </patternFill>
    </fill>
    <fill>
      <patternFill patternType="solid">
        <fgColor indexed="24"/>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24994659260841701"/>
        <bgColor indexed="64"/>
      </patternFill>
    </fill>
    <fill>
      <patternFill patternType="solid">
        <fgColor rgb="FF99C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rgb="FF660066"/>
      </left>
      <right style="thin">
        <color rgb="FF660066"/>
      </right>
      <top style="thin">
        <color rgb="FF660066"/>
      </top>
      <bottom style="thin">
        <color rgb="FF660066"/>
      </bottom>
      <diagonal/>
    </border>
    <border>
      <left style="dotted">
        <color rgb="FF660066"/>
      </left>
      <right style="dotted">
        <color rgb="FF660066"/>
      </right>
      <top style="dotted">
        <color rgb="FF660066"/>
      </top>
      <bottom style="dotted">
        <color rgb="FF660066"/>
      </bottom>
      <diagonal/>
    </border>
    <border>
      <left style="mediumDashed">
        <color rgb="FFC90044"/>
      </left>
      <right style="mediumDashed">
        <color rgb="FFC90044"/>
      </right>
      <top style="mediumDashed">
        <color rgb="FFC90044"/>
      </top>
      <bottom style="mediumDashed">
        <color rgb="FFC90044"/>
      </bottom>
      <diagonal/>
    </border>
    <border>
      <left/>
      <right/>
      <top style="thin">
        <color indexed="64"/>
      </top>
      <bottom/>
      <diagonal/>
    </border>
    <border>
      <left style="medium">
        <color indexed="12"/>
      </left>
      <right style="medium">
        <color indexed="12"/>
      </right>
      <top style="medium">
        <color indexed="12"/>
      </top>
      <bottom style="medium">
        <color indexed="12"/>
      </bottom>
      <diagonal/>
    </border>
    <border>
      <left style="thin">
        <color theme="6" tint="-0.499984740745262"/>
      </left>
      <right style="thin">
        <color theme="6" tint="-0.499984740745262"/>
      </right>
      <top style="hair">
        <color theme="6" tint="-0.499984740745262"/>
      </top>
      <bottom style="hair">
        <color theme="6" tint="-0.499984740745262"/>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style="hair">
        <color theme="6" tint="-0.499984740745262"/>
      </left>
      <right style="hair">
        <color theme="6" tint="-0.499984740745262"/>
      </right>
      <top style="thin">
        <color theme="6" tint="-0.499984740745262"/>
      </top>
      <bottom style="thin">
        <color theme="6" tint="-0.499984740745262"/>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dashed">
        <color rgb="FF7F7F7F"/>
      </left>
      <right style="dashed">
        <color rgb="FF7F7F7F"/>
      </right>
      <top style="dashed">
        <color rgb="FF7F7F7F"/>
      </top>
      <bottom style="dashed">
        <color rgb="FF7F7F7F"/>
      </bottom>
      <diagonal/>
    </border>
    <border>
      <left/>
      <right/>
      <top/>
      <bottom style="medium">
        <color indexed="64"/>
      </bottom>
      <diagonal/>
    </border>
    <border>
      <left style="double">
        <color indexed="64"/>
      </left>
      <right/>
      <top/>
      <bottom/>
      <diagonal/>
    </border>
    <border>
      <left style="thin">
        <color rgb="FF000099"/>
      </left>
      <right style="thin">
        <color rgb="FF000099"/>
      </right>
      <top style="thin">
        <color rgb="FF000099"/>
      </top>
      <bottom style="thin">
        <color rgb="FF000099"/>
      </bottom>
      <diagonal/>
    </border>
    <border>
      <left/>
      <right/>
      <top/>
      <bottom style="thick">
        <color theme="8" tint="-0.499984740745262"/>
      </bottom>
      <diagonal/>
    </border>
    <border>
      <left/>
      <right/>
      <top/>
      <bottom style="medium">
        <color theme="8" tint="-0.499984740745262"/>
      </bottom>
      <diagonal/>
    </border>
    <border>
      <left style="dotted">
        <color indexed="57"/>
      </left>
      <right style="dotted">
        <color indexed="57"/>
      </right>
      <top style="dotted">
        <color indexed="57"/>
      </top>
      <bottom style="dotted">
        <color indexed="57"/>
      </bottom>
      <diagonal/>
    </border>
    <border>
      <left style="dotted">
        <color indexed="59"/>
      </left>
      <right style="dotted">
        <color indexed="59"/>
      </right>
      <top style="dotted">
        <color indexed="59"/>
      </top>
      <bottom style="dotted">
        <color indexed="59"/>
      </bottom>
      <diagonal/>
    </border>
    <border>
      <left style="thin">
        <color indexed="57"/>
      </left>
      <right style="thin">
        <color indexed="57"/>
      </right>
      <top style="thin">
        <color indexed="57"/>
      </top>
      <bottom style="thin">
        <color indexed="57"/>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59"/>
      </left>
      <right style="thin">
        <color indexed="59"/>
      </right>
      <top style="thin">
        <color indexed="59"/>
      </top>
      <bottom style="thin">
        <color indexed="59"/>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41"/>
      </top>
      <bottom style="medium">
        <color indexed="41"/>
      </bottom>
      <diagonal/>
    </border>
    <border>
      <left/>
      <right/>
      <top style="medium">
        <color indexed="4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ashed">
        <color indexed="63"/>
      </left>
      <right style="dashed">
        <color indexed="63"/>
      </right>
      <top style="dashed">
        <color indexed="63"/>
      </top>
      <bottom style="dashed">
        <color indexed="63"/>
      </bottom>
      <diagonal/>
    </border>
    <border>
      <left style="hair">
        <color rgb="FFB2B2B2"/>
      </left>
      <right style="hair">
        <color rgb="FFB2B2B2"/>
      </right>
      <top style="hair">
        <color rgb="FFB2B2B2"/>
      </top>
      <bottom style="hair">
        <color rgb="FFB2B2B2"/>
      </bottom>
      <diagonal/>
    </border>
    <border>
      <left style="dotted">
        <color indexed="28"/>
      </left>
      <right style="dotted">
        <color indexed="28"/>
      </right>
      <top style="dotted">
        <color indexed="28"/>
      </top>
      <bottom style="dotted">
        <color indexed="28"/>
      </bottom>
      <diagonal/>
    </border>
    <border>
      <left style="dashed">
        <color indexed="19"/>
      </left>
      <right style="dashed">
        <color indexed="19"/>
      </right>
      <top style="dashed">
        <color indexed="19"/>
      </top>
      <bottom style="dashed">
        <color indexed="19"/>
      </bottom>
      <diagonal/>
    </border>
    <border>
      <left style="thin">
        <color indexed="63"/>
      </left>
      <right style="thin">
        <color indexed="63"/>
      </right>
      <top style="thin">
        <color indexed="63"/>
      </top>
      <bottom style="thin">
        <color indexed="63"/>
      </bottom>
      <diagonal/>
    </border>
    <border>
      <left/>
      <right/>
      <top style="thin">
        <color indexed="63"/>
      </top>
      <bottom style="double">
        <color indexed="63"/>
      </bottom>
      <diagonal/>
    </border>
    <border>
      <left style="dashed">
        <color indexed="55"/>
      </left>
      <right style="dashed">
        <color indexed="55"/>
      </right>
      <top style="dashed">
        <color indexed="55"/>
      </top>
      <bottom style="dashed">
        <color indexed="55"/>
      </bottom>
      <diagonal/>
    </border>
    <border>
      <left/>
      <right/>
      <top/>
      <bottom style="thick">
        <color theme="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dashed">
        <color indexed="28"/>
      </left>
      <right style="dashed">
        <color indexed="28"/>
      </right>
      <top style="dashed">
        <color indexed="28"/>
      </top>
      <bottom style="dashed">
        <color indexed="28"/>
      </bottom>
      <diagonal/>
    </border>
    <border>
      <left style="dotted">
        <color indexed="57"/>
      </left>
      <right style="dotted">
        <color indexed="57"/>
      </right>
      <top style="thin">
        <color indexed="57"/>
      </top>
      <bottom style="thin">
        <color indexed="57"/>
      </bottom>
      <diagonal/>
    </border>
    <border>
      <left style="dotted">
        <color indexed="10"/>
      </left>
      <right style="dotted">
        <color indexed="10"/>
      </right>
      <top style="dotted">
        <color indexed="10"/>
      </top>
      <bottom style="dotted">
        <color indexed="10"/>
      </bottom>
      <diagonal/>
    </border>
    <border>
      <left style="dotted">
        <color rgb="FF3F3F3F"/>
      </left>
      <right style="dotted">
        <color rgb="FF3F3F3F"/>
      </right>
      <top style="dotted">
        <color rgb="FF3F3F3F"/>
      </top>
      <bottom style="dotted">
        <color rgb="FF3F3F3F"/>
      </bottom>
      <diagonal/>
    </border>
    <border>
      <left/>
      <right/>
      <top style="thin">
        <color indexed="23"/>
      </top>
      <bottom style="dotted">
        <color indexed="23"/>
      </bottom>
      <diagonal/>
    </border>
    <border>
      <left style="thin">
        <color indexed="64"/>
      </left>
      <right/>
      <top style="thin">
        <color indexed="64"/>
      </top>
      <bottom/>
      <diagonal/>
    </border>
    <border>
      <left style="thin">
        <color indexed="64"/>
      </left>
      <right/>
      <top/>
      <bottom/>
      <diagonal/>
    </border>
    <border>
      <left/>
      <right/>
      <top style="thin">
        <color indexed="63"/>
      </top>
      <bottom/>
      <diagonal/>
    </border>
    <border>
      <left/>
      <right/>
      <top style="medium">
        <color indexed="63"/>
      </top>
      <bottom style="double">
        <color indexed="63"/>
      </bottom>
      <diagonal/>
    </border>
    <border>
      <left/>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indexed="64"/>
      </left>
      <right style="dotted">
        <color indexed="64"/>
      </right>
      <top style="dotted">
        <color indexed="64"/>
      </top>
      <bottom style="dotted">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8"/>
      </top>
      <bottom style="thin">
        <color indexed="8"/>
      </bottom>
      <diagonal/>
    </border>
    <border>
      <left style="dotted">
        <color rgb="FF660066"/>
      </left>
      <right style="dotted">
        <color rgb="FF660066"/>
      </right>
      <top style="dotted">
        <color rgb="FF660066"/>
      </top>
      <bottom/>
      <diagonal/>
    </border>
    <border>
      <left style="dotted">
        <color rgb="FF660066"/>
      </left>
      <right/>
      <top style="dotted">
        <color rgb="FF660066"/>
      </top>
      <bottom style="dotted">
        <color rgb="FF660066"/>
      </bottom>
      <diagonal/>
    </border>
    <border>
      <left style="thin">
        <color indexed="9"/>
      </left>
      <right style="thin">
        <color indexed="9"/>
      </right>
      <top style="thin">
        <color indexed="9"/>
      </top>
      <bottom style="dotted">
        <color theme="7" tint="-0.249977111117893"/>
      </bottom>
      <diagonal/>
    </border>
    <border>
      <left style="dotted">
        <color rgb="FF660066"/>
      </left>
      <right style="dotted">
        <color rgb="FF660066"/>
      </right>
      <top/>
      <bottom style="dotted">
        <color rgb="FF660066"/>
      </bottom>
      <diagonal/>
    </border>
  </borders>
  <cellStyleXfs count="1086">
    <xf numFmtId="0" fontId="0" fillId="0" borderId="0">
      <alignment vertical="center"/>
    </xf>
    <xf numFmtId="0" fontId="5" fillId="0" borderId="0" applyNumberFormat="0" applyAlignment="0">
      <alignment vertical="center"/>
    </xf>
    <xf numFmtId="165" fontId="18" fillId="0" borderId="0" applyNumberFormat="0" applyAlignment="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horizontal="left" vertical="center"/>
    </xf>
    <xf numFmtId="0" fontId="8" fillId="0" borderId="0" applyNumberFormat="0" applyFill="0" applyBorder="0" applyAlignment="0" applyProtection="0">
      <alignment vertical="center"/>
    </xf>
    <xf numFmtId="0" fontId="5" fillId="2" borderId="0" applyNumberFormat="0" applyFont="0" applyBorder="0" applyAlignment="0" applyProtection="0">
      <alignment vertical="center"/>
    </xf>
    <xf numFmtId="0" fontId="12" fillId="0" borderId="0" applyNumberFormat="0" applyAlignment="0">
      <alignment vertical="center"/>
    </xf>
    <xf numFmtId="0" fontId="10" fillId="0" borderId="0" applyNumberFormat="0" applyFill="0" applyBorder="0" applyAlignment="0" applyProtection="0">
      <alignment vertical="center"/>
    </xf>
    <xf numFmtId="164" fontId="5" fillId="0" borderId="0" applyFont="0" applyFill="0" applyBorder="0" applyAlignment="0" applyProtection="0">
      <alignment vertical="center"/>
    </xf>
    <xf numFmtId="0" fontId="5" fillId="3" borderId="0" applyNumberFormat="0" applyFont="0" applyBorder="0" applyAlignment="0" applyProtection="0">
      <alignment vertical="center"/>
    </xf>
    <xf numFmtId="166" fontId="5" fillId="0" borderId="0" applyFont="0" applyFill="0" applyBorder="0" applyAlignment="0" applyProtection="0">
      <alignment horizontal="right" vertical="center"/>
    </xf>
    <xf numFmtId="0" fontId="17" fillId="0" borderId="0" applyNumberFormat="0" applyFill="0" applyProtection="0">
      <alignment horizontal="left" vertical="center"/>
    </xf>
    <xf numFmtId="164" fontId="8" fillId="0" borderId="0" applyNumberFormat="0" applyFill="0" applyBorder="0" applyAlignment="0" applyProtection="0">
      <alignment vertical="center"/>
    </xf>
    <xf numFmtId="0" fontId="5" fillId="0" borderId="0" applyProtection="0">
      <alignment vertical="center"/>
    </xf>
    <xf numFmtId="0" fontId="5" fillId="0" borderId="2" applyNumberFormat="0" applyAlignment="0">
      <alignment vertical="center"/>
      <protection locked="0"/>
    </xf>
    <xf numFmtId="0" fontId="5" fillId="0" borderId="1" applyNumberFormat="0" applyAlignment="0">
      <alignment vertical="center"/>
      <protection locked="0"/>
    </xf>
    <xf numFmtId="0" fontId="17" fillId="0" borderId="0" applyNumberFormat="0" applyFill="0" applyBorder="0" applyAlignment="0" applyProtection="0">
      <alignment vertical="top"/>
    </xf>
    <xf numFmtId="0" fontId="5" fillId="4" borderId="0" applyNumberFormat="0" applyFont="0" applyBorder="0" applyAlignment="0" applyProtection="0">
      <alignment vertical="center"/>
    </xf>
    <xf numFmtId="0" fontId="5" fillId="5" borderId="0" applyNumberFormat="0" applyFont="0" applyBorder="0" applyAlignment="0" applyProtection="0">
      <alignment vertical="center"/>
    </xf>
    <xf numFmtId="0" fontId="10" fillId="0" borderId="0" applyFill="0" applyBorder="0" applyAlignment="0" applyProtection="0">
      <alignment vertical="center"/>
    </xf>
    <xf numFmtId="0" fontId="5" fillId="6" borderId="3" applyNumberFormat="0" applyFont="0" applyAlignment="0" applyProtection="0">
      <alignment vertical="center"/>
    </xf>
    <xf numFmtId="43" fontId="5" fillId="0" borderId="0" applyFont="0" applyFill="0" applyBorder="0" applyAlignment="0" applyProtection="0"/>
    <xf numFmtId="9" fontId="5" fillId="0" borderId="0" applyFont="0" applyFill="0" applyBorder="0" applyAlignment="0" applyProtection="0"/>
    <xf numFmtId="0" fontId="5" fillId="0" borderId="0"/>
    <xf numFmtId="0" fontId="9" fillId="8" borderId="0" applyNumberFormat="0">
      <alignment vertical="center"/>
    </xf>
    <xf numFmtId="0" fontId="5" fillId="0" borderId="0">
      <alignment vertical="center"/>
    </xf>
    <xf numFmtId="0" fontId="5" fillId="0" borderId="0"/>
    <xf numFmtId="0" fontId="19" fillId="0" borderId="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169" fontId="26" fillId="0" borderId="6">
      <alignment vertical="center"/>
    </xf>
    <xf numFmtId="169" fontId="27" fillId="0" borderId="7">
      <alignment vertical="center"/>
    </xf>
    <xf numFmtId="170" fontId="26" fillId="0" borderId="8">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169" fontId="27" fillId="0" borderId="9" applyAlignment="0" applyProtection="0"/>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0" fontId="5" fillId="0" borderId="0" applyNumberFormat="0" applyAlignment="0">
      <alignment vertical="center"/>
    </xf>
    <xf numFmtId="2" fontId="19" fillId="9" borderId="10"/>
    <xf numFmtId="0" fontId="28" fillId="10" borderId="11" applyNumberFormat="0" applyProtection="0">
      <alignment horizontal="center" vertical="center" wrapText="1"/>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0" applyNumberFormat="0" applyBorder="0" applyProtection="0">
      <alignment horizontal="centerContinuous" vertical="center"/>
    </xf>
    <xf numFmtId="0" fontId="28" fillId="10" borderId="11" applyNumberFormat="0" applyProtection="0">
      <alignment horizontal="center" vertical="center" wrapText="1"/>
    </xf>
    <xf numFmtId="0" fontId="28" fillId="10" borderId="11" applyNumberFormat="0" applyProtection="0">
      <alignment horizontal="center" vertical="center" wrapText="1"/>
    </xf>
    <xf numFmtId="0" fontId="28" fillId="10" borderId="11" applyNumberFormat="0" applyProtection="0">
      <alignment horizontal="center" vertical="center" wrapText="1"/>
    </xf>
    <xf numFmtId="0" fontId="28" fillId="10" borderId="11" applyNumberFormat="0" applyProtection="0">
      <alignment horizontal="center" vertical="center" wrapText="1"/>
    </xf>
    <xf numFmtId="0" fontId="28" fillId="10" borderId="11" applyNumberFormat="0" applyProtection="0">
      <alignment horizontal="center" vertical="center" wrapText="1"/>
    </xf>
    <xf numFmtId="0" fontId="28" fillId="10" borderId="11" applyNumberFormat="0" applyProtection="0">
      <alignment horizontal="center" vertical="center" wrapText="1"/>
    </xf>
    <xf numFmtId="0" fontId="8" fillId="8" borderId="0" applyNumberFormat="0">
      <alignment horizontal="center" vertical="top" wrapText="1"/>
    </xf>
    <xf numFmtId="0" fontId="8" fillId="8" borderId="0" applyNumberFormat="0">
      <alignment horizontal="left" vertical="top" wrapText="1"/>
    </xf>
    <xf numFmtId="0" fontId="8" fillId="8" borderId="0" applyNumberFormat="0">
      <alignment horizontal="centerContinuous" vertical="top"/>
    </xf>
    <xf numFmtId="0" fontId="5" fillId="8" borderId="0" applyNumberFormat="0">
      <alignment horizontal="center" vertical="top" wrapText="1"/>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0" fontId="29" fillId="0" borderId="12" applyNumberFormat="0" applyFont="0" applyFill="0" applyAlignment="0" applyProtection="0">
      <alignment horizontal="left"/>
    </xf>
    <xf numFmtId="171" fontId="19" fillId="0" borderId="0"/>
    <xf numFmtId="172" fontId="19" fillId="0" borderId="0"/>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3" fontId="30" fillId="0" borderId="0" applyFont="0" applyFill="0" applyBorder="0" applyAlignment="0" applyProtection="0"/>
    <xf numFmtId="173" fontId="30" fillId="0" borderId="0" applyFont="0" applyFill="0" applyBorder="0" applyAlignment="0" applyProtection="0"/>
    <xf numFmtId="164" fontId="5" fillId="0" borderId="0" applyFont="0" applyFill="0" applyBorder="0" applyAlignment="0" applyProtection="0">
      <alignment vertical="center"/>
    </xf>
    <xf numFmtId="173" fontId="30" fillId="0" borderId="0" applyFont="0" applyFill="0" applyBorder="0" applyAlignment="0" applyProtection="0"/>
    <xf numFmtId="164" fontId="5" fillId="0" borderId="0" applyFont="0" applyFill="0" applyBorder="0" applyAlignment="0" applyProtection="0">
      <alignment vertical="center"/>
    </xf>
    <xf numFmtId="173" fontId="30" fillId="0" borderId="0" applyFont="0" applyFill="0" applyBorder="0" applyAlignment="0" applyProtection="0"/>
    <xf numFmtId="164" fontId="5" fillId="0" borderId="0" applyFont="0" applyFill="0" applyBorder="0" applyAlignment="0" applyProtection="0">
      <alignment vertical="center"/>
    </xf>
    <xf numFmtId="43" fontId="19" fillId="0" borderId="0" applyFont="0" applyFill="0" applyBorder="0" applyAlignment="0" applyProtection="0"/>
    <xf numFmtId="164" fontId="5" fillId="0" borderId="0" applyFont="0" applyFill="0" applyBorder="0" applyAlignment="0" applyProtection="0">
      <alignment vertical="center"/>
    </xf>
    <xf numFmtId="43" fontId="3" fillId="0" borderId="0" applyFont="0" applyFill="0" applyBorder="0" applyAlignment="0" applyProtection="0"/>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74" fontId="30" fillId="0" borderId="0" applyFont="0"/>
    <xf numFmtId="175" fontId="5" fillId="0" borderId="0">
      <alignment vertical="center"/>
    </xf>
    <xf numFmtId="176" fontId="5" fillId="0" borderId="0" applyFont="0" applyFill="0" applyBorder="0" applyAlignment="0" applyProtection="0">
      <alignment vertical="center"/>
    </xf>
    <xf numFmtId="177" fontId="30" fillId="0" borderId="0" applyFont="0"/>
    <xf numFmtId="175" fontId="5" fillId="0" borderId="0" applyFont="0" applyFill="0" applyBorder="0" applyAlignment="0" applyProtection="0">
      <alignment vertical="center"/>
    </xf>
    <xf numFmtId="175" fontId="5" fillId="0" borderId="0" applyFont="0" applyFill="0" applyBorder="0" applyAlignment="0" applyProtection="0">
      <alignment vertical="center"/>
    </xf>
    <xf numFmtId="175" fontId="5" fillId="0" borderId="0" applyFont="0" applyFill="0" applyBorder="0" applyAlignment="0" applyProtection="0">
      <alignment vertical="center"/>
    </xf>
    <xf numFmtId="175" fontId="5" fillId="0" borderId="0" applyFont="0" applyFill="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180" fontId="5" fillId="0" borderId="0" applyFont="0" applyFill="0" applyBorder="0" applyAlignment="0" applyProtection="0">
      <alignment vertical="center"/>
    </xf>
    <xf numFmtId="181" fontId="5" fillId="0" borderId="0" applyFont="0" applyFill="0" applyBorder="0" applyAlignment="0" applyProtection="0">
      <alignment vertical="center"/>
    </xf>
    <xf numFmtId="182" fontId="5" fillId="0" borderId="0" applyFont="0" applyFill="0" applyBorder="0" applyAlignment="0" applyProtection="0">
      <alignment vertical="center"/>
    </xf>
    <xf numFmtId="183" fontId="5" fillId="0" borderId="0" applyFont="0" applyFill="0" applyBorder="0" applyAlignment="0" applyProtection="0">
      <alignment vertical="center"/>
    </xf>
    <xf numFmtId="184" fontId="5" fillId="0" borderId="0" applyFont="0" applyFill="0" applyBorder="0" applyAlignment="0" applyProtection="0">
      <alignment vertical="center"/>
    </xf>
    <xf numFmtId="185" fontId="5" fillId="0" borderId="0" applyFont="0" applyFill="0" applyBorder="0" applyAlignment="0" applyProtection="0">
      <alignment vertical="center"/>
    </xf>
    <xf numFmtId="186" fontId="5" fillId="0" borderId="0" applyFont="0" applyFill="0" applyBorder="0" applyAlignment="0" applyProtection="0">
      <alignment vertical="center"/>
    </xf>
    <xf numFmtId="187" fontId="5" fillId="0" borderId="0" applyFont="0" applyFill="0" applyBorder="0" applyAlignment="0" applyProtection="0">
      <alignment vertical="center"/>
    </xf>
    <xf numFmtId="188" fontId="5" fillId="0" borderId="0" applyFont="0" applyFill="0" applyBorder="0" applyAlignment="0" applyProtection="0">
      <alignment vertical="center"/>
    </xf>
    <xf numFmtId="189" fontId="5" fillId="0" borderId="0" applyFont="0" applyFill="0" applyBorder="0" applyAlignment="0" applyProtection="0">
      <alignment vertical="center"/>
    </xf>
    <xf numFmtId="190" fontId="5" fillId="0" borderId="0" applyFont="0" applyFill="0" applyBorder="0" applyAlignment="0" applyProtection="0">
      <alignment vertical="center"/>
    </xf>
    <xf numFmtId="191" fontId="5" fillId="0" borderId="0" applyFont="0" applyFill="0" applyBorder="0" applyAlignment="0" applyProtection="0">
      <alignment vertical="center"/>
    </xf>
    <xf numFmtId="192"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90" fontId="5" fillId="0" borderId="0" applyFont="0" applyFill="0" applyBorder="0" applyAlignment="0" applyProtection="0">
      <alignment vertical="center"/>
    </xf>
    <xf numFmtId="169" fontId="31" fillId="11" borderId="13" applyAlignment="0">
      <alignment vertical="center"/>
      <protection locked="0"/>
    </xf>
    <xf numFmtId="169" fontId="19" fillId="7" borderId="1" applyAlignment="0">
      <alignment vertical="center"/>
      <protection locked="0"/>
    </xf>
    <xf numFmtId="170" fontId="31" fillId="12" borderId="13">
      <alignment horizontal="left" vertical="center"/>
      <protection locked="0"/>
    </xf>
    <xf numFmtId="193" fontId="32" fillId="13" borderId="1">
      <alignment horizontal="left" vertical="center"/>
      <protection locked="0"/>
    </xf>
    <xf numFmtId="0" fontId="19" fillId="0" borderId="0"/>
    <xf numFmtId="170" fontId="33" fillId="0" borderId="14" applyFill="0" applyAlignment="0"/>
    <xf numFmtId="170" fontId="34" fillId="0" borderId="14" applyFill="0" applyAlignment="0"/>
    <xf numFmtId="170" fontId="35" fillId="0" borderId="15" applyFill="0" applyAlignment="0"/>
    <xf numFmtId="170" fontId="36" fillId="0" borderId="0" applyFill="0" applyBorder="0" applyAlignment="0"/>
    <xf numFmtId="170" fontId="37" fillId="0" borderId="0" applyFill="0" applyBorder="0" applyAlignment="0"/>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5" fillId="2" borderId="0" applyNumberFormat="0" applyFont="0" applyBorder="0" applyAlignment="0" applyProtection="0">
      <alignment vertical="center"/>
    </xf>
    <xf numFmtId="0" fontId="25"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5"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40" fillId="0" borderId="0" applyNumberFormat="0" applyFill="0" applyAlignment="0" applyProtection="0"/>
    <xf numFmtId="0" fontId="5" fillId="0" borderId="16" applyNumberFormat="0" applyAlignment="0">
      <alignment vertical="center"/>
    </xf>
    <xf numFmtId="0" fontId="5" fillId="0" borderId="17" applyNumberFormat="0" applyAlignment="0">
      <alignment vertical="center"/>
      <protection locked="0"/>
    </xf>
    <xf numFmtId="164" fontId="5" fillId="14" borderId="18" applyNumberFormat="0" applyAlignment="0">
      <alignment vertical="center"/>
      <protection locked="0"/>
    </xf>
    <xf numFmtId="170" fontId="41" fillId="12" borderId="19">
      <alignment horizontal="left" vertical="center"/>
      <protection locked="0"/>
    </xf>
    <xf numFmtId="0" fontId="5" fillId="15" borderId="0" applyNumberFormat="0" applyAlignment="0">
      <alignment vertical="center"/>
    </xf>
    <xf numFmtId="0" fontId="5" fillId="16"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7"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7"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15" borderId="0" applyNumberFormat="0" applyAlignment="0">
      <alignment vertical="center"/>
    </xf>
    <xf numFmtId="0" fontId="5" fillId="0" borderId="20" applyNumberFormat="0" applyAlignment="0">
      <alignment vertical="center"/>
      <protection locked="0"/>
    </xf>
    <xf numFmtId="169" fontId="27" fillId="11" borderId="9">
      <alignment vertical="center"/>
    </xf>
    <xf numFmtId="193" fontId="42" fillId="0" borderId="21">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0" fontId="43" fillId="0" borderId="0" applyNumberFormat="0" applyFill="0" applyBorder="0" applyProtection="0">
      <alignment horizontal="left" vertical="center"/>
    </xf>
    <xf numFmtId="169" fontId="19" fillId="18" borderId="22">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12" fillId="0" borderId="0" applyNumberFormat="0" applyAlignment="0">
      <alignment vertical="center"/>
    </xf>
    <xf numFmtId="0" fontId="44" fillId="0" borderId="0" applyNumberFormat="0" applyFill="0" applyBorder="0" applyProtection="0">
      <alignment horizontal="left"/>
    </xf>
    <xf numFmtId="194" fontId="45" fillId="0" borderId="0"/>
    <xf numFmtId="0" fontId="22" fillId="0" borderId="0"/>
    <xf numFmtId="0" fontId="2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19" fillId="0" borderId="0"/>
    <xf numFmtId="0" fontId="19" fillId="0" borderId="0"/>
    <xf numFmtId="0" fontId="19" fillId="0" borderId="0"/>
    <xf numFmtId="0" fontId="5"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0"/>
    <xf numFmtId="0" fontId="22" fillId="0" borderId="0"/>
    <xf numFmtId="0" fontId="22" fillId="0" borderId="0"/>
    <xf numFmtId="0" fontId="22" fillId="0" borderId="0"/>
    <xf numFmtId="0" fontId="5" fillId="0" borderId="0">
      <alignment vertical="center"/>
    </xf>
    <xf numFmtId="0" fontId="19" fillId="0" borderId="0"/>
    <xf numFmtId="0" fontId="19" fillId="0" borderId="0"/>
    <xf numFmtId="0" fontId="19" fillId="0" borderId="0"/>
    <xf numFmtId="0" fontId="19" fillId="0" borderId="0"/>
    <xf numFmtId="0" fontId="2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0" fontId="5" fillId="0" borderId="0">
      <alignment vertical="center"/>
    </xf>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22" fillId="0" borderId="0"/>
    <xf numFmtId="0" fontId="22" fillId="0" borderId="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6" fillId="0" borderId="0" applyNumberFormat="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165"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64" fontId="5" fillId="0" borderId="0" applyFont="0" applyFill="0" applyBorder="0" applyAlignment="0" applyProtection="0">
      <alignment vertical="center"/>
    </xf>
    <xf numFmtId="170" fontId="47" fillId="0" borderId="0">
      <alignment horizontal="righ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48" fillId="19" borderId="23" applyNumberFormat="0" applyAlignment="0" applyProtection="0"/>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0" fontId="5" fillId="3" borderId="0" applyNumberFormat="0" applyFont="0" applyBorder="0" applyAlignment="0" applyProtection="0">
      <alignment vertical="center"/>
    </xf>
    <xf numFmtId="9" fontId="19" fillId="0" borderId="0"/>
    <xf numFmtId="167" fontId="19" fillId="0" borderId="0"/>
    <xf numFmtId="10" fontId="19" fillId="0" borderId="0"/>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9" fontId="5" fillId="0" borderId="0" applyFont="0" applyFill="0" applyBorder="0" applyAlignment="0" applyProtection="0"/>
    <xf numFmtId="9" fontId="19" fillId="0" borderId="0" applyFont="0" applyFill="0" applyBorder="0" applyAlignment="0" applyProtection="0"/>
    <xf numFmtId="187" fontId="5" fillId="0" borderId="0" applyFont="0" applyFill="0" applyBorder="0" applyAlignment="0" applyProtection="0">
      <alignment vertical="center"/>
    </xf>
    <xf numFmtId="9" fontId="30" fillId="0" borderId="0" applyFont="0" applyFill="0" applyBorder="0" applyAlignment="0" applyProtection="0"/>
    <xf numFmtId="166" fontId="5" fillId="0" borderId="0" applyFont="0" applyFill="0" applyBorder="0" applyAlignment="0" applyProtection="0">
      <alignment vertical="center"/>
    </xf>
    <xf numFmtId="9" fontId="30" fillId="0" borderId="0" applyFont="0" applyFill="0" applyBorder="0" applyAlignment="0" applyProtection="0"/>
    <xf numFmtId="166" fontId="5" fillId="0" borderId="0" applyFont="0" applyFill="0" applyBorder="0" applyAlignment="0" applyProtection="0">
      <alignment vertical="center"/>
    </xf>
    <xf numFmtId="9" fontId="19" fillId="0" borderId="0" applyFont="0" applyFill="0" applyBorder="0" applyAlignment="0" applyProtection="0"/>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66" fontId="5" fillId="0" borderId="0" applyFont="0" applyFill="0" applyBorder="0" applyAlignment="0" applyProtection="0">
      <alignment vertical="center"/>
    </xf>
    <xf numFmtId="195" fontId="5" fillId="0" borderId="0" applyFont="0" applyFill="0" applyBorder="0" applyAlignment="0" applyProtection="0">
      <alignmen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166" fontId="5" fillId="0" borderId="0" applyFont="0" applyFill="0" applyBorder="0" applyAlignment="0" applyProtection="0">
      <alignment horizontal="right" vertical="center"/>
    </xf>
    <xf numFmtId="0" fontId="49" fillId="20" borderId="0" applyNumberFormat="0" applyBorder="0" applyAlignment="0" applyProtection="0">
      <alignment vertical="center"/>
    </xf>
    <xf numFmtId="0" fontId="50" fillId="0" borderId="0" applyNumberFormat="0" applyFont="0" applyFill="0" applyBorder="0" applyAlignment="0" applyProtection="0">
      <alignment horizontal="left"/>
    </xf>
    <xf numFmtId="4" fontId="50" fillId="0" borderId="0" applyFont="0" applyFill="0" applyBorder="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9" fillId="0" borderId="24" applyNumberFormat="0" applyFont="0" applyFill="0" applyAlignment="0" applyProtection="0"/>
    <xf numFmtId="0" fontId="28" fillId="10" borderId="25" applyNumberFormat="0" applyBorder="0" applyProtection="0">
      <alignment horizontal="left" wrapText="1"/>
    </xf>
    <xf numFmtId="0" fontId="28" fillId="10" borderId="0" applyNumberFormat="0" applyBorder="0" applyProtection="0">
      <alignment horizontal="left"/>
    </xf>
    <xf numFmtId="0" fontId="28" fillId="10" borderId="0" applyNumberFormat="0" applyBorder="0" applyProtection="0">
      <alignment horizontal="left"/>
    </xf>
    <xf numFmtId="0" fontId="28" fillId="10" borderId="0" applyNumberFormat="0" applyBorder="0" applyProtection="0">
      <alignment horizontal="left"/>
    </xf>
    <xf numFmtId="0" fontId="28" fillId="10" borderId="0" applyNumberFormat="0" applyBorder="0" applyProtection="0">
      <alignment horizontal="left"/>
    </xf>
    <xf numFmtId="0" fontId="28" fillId="10" borderId="0" applyNumberFormat="0" applyBorder="0" applyProtection="0">
      <alignment horizontal="left"/>
    </xf>
    <xf numFmtId="0" fontId="28" fillId="10" borderId="0" applyNumberFormat="0" applyBorder="0" applyProtection="0">
      <alignment horizontal="left"/>
    </xf>
    <xf numFmtId="0" fontId="28" fillId="10" borderId="0" applyNumberFormat="0" applyBorder="0" applyProtection="0">
      <alignment horizontal="left"/>
    </xf>
    <xf numFmtId="0" fontId="28" fillId="10" borderId="25" applyNumberFormat="0" applyBorder="0" applyProtection="0">
      <alignment horizontal="left" wrapText="1"/>
    </xf>
    <xf numFmtId="0" fontId="28" fillId="10" borderId="25" applyNumberFormat="0" applyBorder="0" applyProtection="0">
      <alignment horizontal="left" wrapText="1"/>
    </xf>
    <xf numFmtId="0" fontId="28" fillId="10" borderId="25" applyNumberFormat="0" applyBorder="0" applyProtection="0">
      <alignment horizontal="left" wrapText="1"/>
    </xf>
    <xf numFmtId="0" fontId="28" fillId="10" borderId="25" applyNumberFormat="0" applyBorder="0" applyProtection="0">
      <alignment horizontal="left" wrapText="1"/>
    </xf>
    <xf numFmtId="0" fontId="28" fillId="10" borderId="25" applyNumberFormat="0" applyBorder="0" applyProtection="0">
      <alignment horizontal="left" wrapText="1"/>
    </xf>
    <xf numFmtId="0" fontId="28" fillId="10" borderId="25" applyNumberFormat="0" applyBorder="0" applyProtection="0">
      <alignment horizontal="left" wrapText="1"/>
    </xf>
    <xf numFmtId="0" fontId="8" fillId="0" borderId="0" applyNumberFormat="0" applyFill="0" applyBorder="0">
      <alignment horizontal="left" vertical="center" wrapText="1"/>
    </xf>
    <xf numFmtId="0" fontId="5" fillId="0" borderId="0" applyNumberFormat="0" applyFill="0" applyBorder="0">
      <alignment horizontal="left" vertical="center" wrapText="1" indent="1"/>
    </xf>
    <xf numFmtId="0" fontId="29" fillId="0" borderId="26" applyNumberFormat="0" applyFont="0" applyFill="0" applyAlignment="0" applyProtection="0"/>
    <xf numFmtId="0" fontId="29" fillId="0" borderId="26" applyNumberFormat="0" applyFont="0" applyFill="0" applyAlignment="0" applyProtection="0"/>
    <xf numFmtId="0" fontId="29" fillId="0" borderId="26" applyNumberFormat="0" applyFont="0" applyFill="0" applyAlignment="0" applyProtection="0"/>
    <xf numFmtId="0" fontId="29" fillId="0" borderId="26" applyNumberFormat="0" applyFont="0" applyFill="0" applyAlignment="0" applyProtection="0"/>
    <xf numFmtId="0" fontId="29" fillId="0" borderId="26" applyNumberFormat="0" applyFont="0" applyFill="0" applyAlignment="0" applyProtection="0"/>
    <xf numFmtId="0" fontId="29" fillId="0" borderId="26" applyNumberFormat="0" applyFont="0" applyFill="0" applyAlignment="0" applyProtection="0"/>
    <xf numFmtId="0" fontId="29" fillId="0" borderId="26" applyNumberFormat="0" applyFont="0" applyFill="0" applyAlignment="0" applyProtection="0"/>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0" fontId="51" fillId="0" borderId="0" applyNumberFormat="0" applyFill="0" applyBorder="0" applyProtection="0">
      <alignment horizontal="left" vertical="center"/>
    </xf>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96" fontId="29" fillId="0" borderId="0" applyFont="0" applyFill="0" applyBorder="0" applyAlignment="0" applyProtection="0"/>
    <xf numFmtId="164" fontId="8" fillId="0" borderId="27" applyNumberFormat="0" applyFill="0" applyAlignment="0" applyProtection="0">
      <alignment vertical="center"/>
    </xf>
    <xf numFmtId="164" fontId="5" fillId="0" borderId="28" applyNumberFormat="0" applyFont="0" applyFill="0" applyAlignment="0" applyProtection="0">
      <alignment vertical="center"/>
    </xf>
    <xf numFmtId="0" fontId="5" fillId="21" borderId="0" applyNumberFormat="0" applyFont="0" applyBorder="0" applyAlignment="0" applyProtection="0">
      <alignment vertical="center"/>
    </xf>
    <xf numFmtId="0" fontId="5" fillId="0" borderId="0" applyNumberFormat="0" applyFont="0" applyFill="0" applyAlignment="0" applyProtection="0">
      <alignment vertical="center"/>
    </xf>
    <xf numFmtId="164" fontId="5" fillId="0" borderId="0" applyNumberFormat="0" applyFont="0" applyBorder="0" applyAlignment="0" applyProtection="0">
      <alignment vertical="center"/>
    </xf>
    <xf numFmtId="0" fontId="52" fillId="22" borderId="0" applyNumberFormat="0" applyBorder="0" applyAlignment="0" applyProtection="0">
      <alignment vertical="center"/>
    </xf>
    <xf numFmtId="49" fontId="5" fillId="0" borderId="0" applyFont="0" applyFill="0" applyBorder="0" applyAlignment="0" applyProtection="0">
      <alignment horizontal="center" vertical="center"/>
    </xf>
    <xf numFmtId="0" fontId="28" fillId="10" borderId="11" applyNumberFormat="0" applyProtection="0">
      <alignment horizontal="left" vertical="center"/>
    </xf>
    <xf numFmtId="0" fontId="28" fillId="10" borderId="11" applyNumberFormat="0" applyProtection="0">
      <alignment horizontal="left" vertical="center"/>
    </xf>
    <xf numFmtId="0" fontId="28" fillId="10" borderId="11" applyNumberFormat="0" applyProtection="0">
      <alignment horizontal="left" vertical="center"/>
    </xf>
    <xf numFmtId="0" fontId="28" fillId="10" borderId="11" applyNumberFormat="0" applyProtection="0">
      <alignment horizontal="left" vertical="center"/>
    </xf>
    <xf numFmtId="0" fontId="28" fillId="10" borderId="11" applyNumberFormat="0" applyProtection="0">
      <alignment horizontal="left" vertical="center"/>
    </xf>
    <xf numFmtId="0" fontId="28" fillId="10" borderId="11" applyNumberFormat="0" applyProtection="0">
      <alignment horizontal="left" vertical="center"/>
    </xf>
    <xf numFmtId="0" fontId="28" fillId="10" borderId="11" applyNumberFormat="0" applyProtection="0">
      <alignment horizontal="lef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0" borderId="0" applyNumberFormat="0" applyFill="0" applyBorder="0" applyAlignment="0" applyProtection="0">
      <alignment vertical="center"/>
    </xf>
    <xf numFmtId="164" fontId="8" fillId="8" borderId="0" applyNumberFormat="0" applyAlignment="0" applyProtection="0">
      <alignment vertical="center"/>
    </xf>
    <xf numFmtId="0" fontId="5" fillId="0" borderId="0" applyNumberFormat="0" applyFont="0" applyAlignment="0" applyProtection="0">
      <alignment vertical="center"/>
    </xf>
    <xf numFmtId="0" fontId="53" fillId="20" borderId="0" applyNumberFormat="0" applyBorder="0" applyAlignment="0" applyProtection="0">
      <alignment vertical="center"/>
    </xf>
    <xf numFmtId="0" fontId="29" fillId="10" borderId="0" applyNumberFormat="0" applyBorder="0" applyProtection="0">
      <alignment horizontal="left"/>
    </xf>
    <xf numFmtId="0" fontId="29" fillId="10" borderId="0" applyNumberFormat="0" applyBorder="0" applyProtection="0">
      <alignment horizontal="left"/>
    </xf>
    <xf numFmtId="0" fontId="29" fillId="10" borderId="0" applyNumberFormat="0" applyBorder="0" applyProtection="0">
      <alignment horizontal="left"/>
    </xf>
    <xf numFmtId="0" fontId="29" fillId="10" borderId="0" applyNumberFormat="0" applyBorder="0" applyProtection="0">
      <alignment horizontal="left"/>
    </xf>
    <xf numFmtId="0" fontId="29" fillId="10" borderId="0" applyNumberFormat="0" applyBorder="0" applyProtection="0">
      <alignment horizontal="left"/>
    </xf>
    <xf numFmtId="0" fontId="29" fillId="10" borderId="0" applyNumberFormat="0" applyBorder="0" applyProtection="0">
      <alignment horizontal="left"/>
    </xf>
    <xf numFmtId="0" fontId="29" fillId="10" borderId="0" applyNumberFormat="0" applyBorder="0" applyProtection="0">
      <alignment horizontal="left"/>
    </xf>
    <xf numFmtId="197" fontId="54" fillId="0" borderId="0" applyFont="0" applyFill="0" applyBorder="0" applyAlignment="0" applyProtection="0"/>
    <xf numFmtId="0" fontId="37" fillId="24" borderId="0"/>
    <xf numFmtId="0" fontId="55" fillId="25" borderId="30">
      <alignment horizontal="center" wrapText="1"/>
    </xf>
    <xf numFmtId="0" fontId="56" fillId="26" borderId="30">
      <alignment horizontal="left" wrapText="1"/>
    </xf>
    <xf numFmtId="0" fontId="37" fillId="24" borderId="0"/>
    <xf numFmtId="0" fontId="37" fillId="24" borderId="0"/>
    <xf numFmtId="0" fontId="59" fillId="0" borderId="0" applyNumberFormat="0" applyFill="0" applyBorder="0" applyAlignment="0" applyProtection="0"/>
    <xf numFmtId="0" fontId="5" fillId="0" borderId="0">
      <alignment vertical="center"/>
    </xf>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3" fontId="5" fillId="0" borderId="0"/>
    <xf numFmtId="0" fontId="30"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30" fillId="0" borderId="0"/>
    <xf numFmtId="0" fontId="19" fillId="0" borderId="0" applyNumberFormat="0" applyFill="0" applyBorder="0" applyAlignment="0" applyProtection="0"/>
    <xf numFmtId="0" fontId="30" fillId="0" borderId="0"/>
    <xf numFmtId="0" fontId="19" fillId="0" borderId="0" applyNumberFormat="0" applyFill="0" applyBorder="0" applyAlignment="0" applyProtection="0"/>
    <xf numFmtId="0" fontId="60" fillId="0" borderId="0"/>
    <xf numFmtId="0" fontId="60" fillId="0" borderId="0"/>
    <xf numFmtId="0" fontId="19" fillId="0" borderId="0"/>
    <xf numFmtId="0" fontId="60" fillId="0" borderId="0"/>
    <xf numFmtId="0" fontId="30" fillId="0" borderId="0"/>
    <xf numFmtId="0" fontId="60" fillId="0" borderId="0"/>
    <xf numFmtId="0" fontId="60" fillId="0" borderId="0"/>
    <xf numFmtId="0" fontId="60" fillId="0" borderId="0"/>
    <xf numFmtId="0" fontId="19" fillId="0" borderId="0" applyNumberFormat="0" applyFill="0" applyBorder="0" applyAlignment="0" applyProtection="0"/>
    <xf numFmtId="0" fontId="60"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xf numFmtId="0" fontId="19" fillId="0" borderId="0"/>
    <xf numFmtId="0" fontId="60" fillId="0" borderId="0"/>
    <xf numFmtId="0" fontId="19" fillId="0" borderId="0" applyNumberFormat="0" applyFill="0" applyBorder="0" applyAlignment="0" applyProtection="0"/>
    <xf numFmtId="0" fontId="61" fillId="0" borderId="0"/>
    <xf numFmtId="0" fontId="60" fillId="0" borderId="0"/>
    <xf numFmtId="0" fontId="60" fillId="0" borderId="0"/>
    <xf numFmtId="0" fontId="60" fillId="0" borderId="0"/>
    <xf numFmtId="0" fontId="60" fillId="0" borderId="0"/>
    <xf numFmtId="0" fontId="19" fillId="0" borderId="0"/>
    <xf numFmtId="0" fontId="30" fillId="0" borderId="0"/>
    <xf numFmtId="0" fontId="30" fillId="0" borderId="0"/>
    <xf numFmtId="16" fontId="50" fillId="0" borderId="0">
      <alignment horizontal="center"/>
    </xf>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201" fontId="62" fillId="0" borderId="0" applyFont="0" applyFill="0" applyBorder="0" applyAlignment="0" applyProtection="0"/>
    <xf numFmtId="202" fontId="62" fillId="0" borderId="0" applyFont="0" applyFill="0" applyBorder="0" applyAlignment="0" applyProtection="0"/>
    <xf numFmtId="197" fontId="62" fillId="0" borderId="0" applyFont="0" applyFill="0" applyBorder="0" applyAlignment="0" applyProtection="0"/>
    <xf numFmtId="203" fontId="62" fillId="0" borderId="0" applyFont="0" applyFill="0" applyBorder="0" applyAlignment="0" applyProtection="0"/>
    <xf numFmtId="204" fontId="19" fillId="0" borderId="0" applyFont="0" applyFill="0" applyBorder="0" applyAlignment="0" applyProtection="0">
      <alignment horizontal="left"/>
    </xf>
    <xf numFmtId="0" fontId="63" fillId="0" borderId="0" applyNumberFormat="0" applyFill="0" applyBorder="0" applyAlignment="0" applyProtection="0"/>
    <xf numFmtId="0" fontId="64" fillId="0" borderId="0"/>
    <xf numFmtId="205" fontId="19" fillId="42" borderId="32" applyNumberFormat="0">
      <alignment vertical="center"/>
    </xf>
    <xf numFmtId="193" fontId="19" fillId="22" borderId="32" applyNumberFormat="0">
      <alignment vertical="center"/>
    </xf>
    <xf numFmtId="1" fontId="19" fillId="43" borderId="32" applyNumberFormat="0">
      <alignment vertical="center"/>
    </xf>
    <xf numFmtId="205" fontId="19" fillId="16" borderId="32" applyNumberFormat="0">
      <alignment vertical="center"/>
    </xf>
    <xf numFmtId="205" fontId="19" fillId="21" borderId="32" applyNumberFormat="0">
      <alignment vertical="center"/>
    </xf>
    <xf numFmtId="206" fontId="65" fillId="44" borderId="0" applyNumberFormat="0">
      <alignment vertical="center"/>
    </xf>
    <xf numFmtId="206" fontId="65" fillId="24" borderId="0" applyNumberFormat="0">
      <alignment vertical="center"/>
    </xf>
    <xf numFmtId="3" fontId="19" fillId="0" borderId="32" applyNumberFormat="0">
      <alignment vertical="center"/>
    </xf>
    <xf numFmtId="206" fontId="65" fillId="0" borderId="32">
      <alignment vertical="center"/>
    </xf>
    <xf numFmtId="3" fontId="65" fillId="0" borderId="32" applyNumberFormat="0">
      <alignment vertical="center"/>
    </xf>
    <xf numFmtId="207" fontId="19" fillId="0" borderId="0" applyFill="0" applyBorder="0" applyAlignment="0"/>
    <xf numFmtId="3" fontId="19" fillId="45" borderId="0"/>
    <xf numFmtId="9" fontId="19" fillId="0" borderId="0">
      <alignment vertical="top"/>
    </xf>
    <xf numFmtId="170" fontId="26" fillId="0" borderId="8">
      <alignment vertical="center"/>
    </xf>
    <xf numFmtId="0" fontId="19" fillId="46" borderId="33" applyFont="0" applyAlignment="0" applyProtection="0"/>
    <xf numFmtId="208" fontId="20" fillId="24" borderId="0">
      <alignment vertical="center"/>
    </xf>
    <xf numFmtId="209" fontId="66" fillId="0" borderId="0"/>
    <xf numFmtId="209" fontId="66" fillId="0" borderId="0"/>
    <xf numFmtId="209" fontId="66" fillId="0" borderId="0"/>
    <xf numFmtId="209" fontId="66" fillId="0" borderId="0"/>
    <xf numFmtId="209" fontId="66" fillId="0" borderId="0"/>
    <xf numFmtId="209" fontId="66" fillId="0" borderId="0"/>
    <xf numFmtId="209" fontId="66" fillId="0" borderId="0"/>
    <xf numFmtId="209" fontId="66" fillId="0" borderId="0"/>
    <xf numFmtId="171" fontId="19" fillId="0" borderId="0"/>
    <xf numFmtId="43" fontId="5" fillId="0" borderId="0" applyFont="0" applyFill="0" applyBorder="0" applyAlignment="0" applyProtection="0"/>
    <xf numFmtId="43" fontId="30" fillId="0" borderId="0" applyFont="0" applyFill="0" applyBorder="0" applyAlignment="0" applyProtection="0"/>
    <xf numFmtId="43" fontId="19" fillId="0" borderId="0" applyFont="0" applyFill="0" applyBorder="0" applyAlignment="0" applyProtection="0"/>
    <xf numFmtId="210" fontId="19" fillId="0" borderId="0" applyFont="0" applyFill="0" applyBorder="0" applyAlignment="0" applyProtection="0"/>
    <xf numFmtId="211" fontId="19" fillId="0" borderId="0" applyFont="0" applyFill="0" applyBorder="0" applyAlignment="0" applyProtection="0"/>
    <xf numFmtId="0" fontId="67" fillId="0" borderId="0" applyNumberFormat="0" applyAlignment="0">
      <alignment horizontal="left"/>
    </xf>
    <xf numFmtId="174" fontId="30" fillId="0" borderId="0" applyFont="0"/>
    <xf numFmtId="44" fontId="19" fillId="0" borderId="0" applyFont="0" applyFill="0" applyBorder="0" applyAlignment="0" applyProtection="0"/>
    <xf numFmtId="212" fontId="19" fillId="0" borderId="0" applyFill="0" applyBorder="0" applyProtection="0">
      <alignment vertical="center"/>
    </xf>
    <xf numFmtId="213" fontId="19" fillId="0" borderId="0" applyFill="0" applyBorder="0" applyProtection="0">
      <alignment vertical="center"/>
    </xf>
    <xf numFmtId="214" fontId="19" fillId="0" borderId="0" applyFill="0" applyBorder="0" applyProtection="0">
      <alignment vertical="center"/>
    </xf>
    <xf numFmtId="0" fontId="68" fillId="45" borderId="30">
      <alignment horizontal="right"/>
    </xf>
    <xf numFmtId="0" fontId="4" fillId="0" borderId="0"/>
    <xf numFmtId="2" fontId="69" fillId="45" borderId="30">
      <protection locked="0"/>
    </xf>
    <xf numFmtId="15" fontId="70" fillId="0" borderId="0" applyFont="0" applyFill="0" applyBorder="0" applyAlignment="0" applyProtection="0">
      <protection locked="0"/>
    </xf>
    <xf numFmtId="215" fontId="19" fillId="0" borderId="0">
      <alignment vertical="top"/>
    </xf>
    <xf numFmtId="216" fontId="19" fillId="0" borderId="0">
      <alignment vertical="top"/>
    </xf>
    <xf numFmtId="41" fontId="19" fillId="0" borderId="0" applyFont="0" applyFill="0" applyBorder="0" applyAlignment="0" applyProtection="0"/>
    <xf numFmtId="43" fontId="19" fillId="0" borderId="0" applyFont="0" applyFill="0" applyBorder="0" applyAlignment="0" applyProtection="0"/>
    <xf numFmtId="0" fontId="71" fillId="0" borderId="0" applyNumberFormat="0" applyAlignment="0">
      <alignment horizontal="left"/>
    </xf>
    <xf numFmtId="0" fontId="10" fillId="2" borderId="30"/>
    <xf numFmtId="217" fontId="19" fillId="0" borderId="0" applyFont="0" applyFill="0" applyBorder="0" applyAlignment="0" applyProtection="0"/>
    <xf numFmtId="0" fontId="19" fillId="3" borderId="34" applyNumberFormat="0">
      <alignment vertical="center"/>
    </xf>
    <xf numFmtId="0" fontId="65" fillId="47" borderId="0">
      <alignment vertical="center"/>
    </xf>
    <xf numFmtId="0" fontId="65" fillId="47" borderId="35" applyNumberFormat="0">
      <alignment vertical="center"/>
    </xf>
    <xf numFmtId="0" fontId="30" fillId="0" borderId="0" applyNumberFormat="0" applyFill="0" applyBorder="0" applyAlignment="0" applyProtection="0"/>
    <xf numFmtId="0" fontId="5" fillId="0" borderId="0" applyFill="0" applyBorder="0">
      <alignment vertical="center"/>
    </xf>
    <xf numFmtId="0" fontId="72" fillId="0" borderId="0" applyNumberFormat="0" applyFill="0" applyBorder="0" applyAlignment="0"/>
    <xf numFmtId="0" fontId="19" fillId="21" borderId="36" applyNumberFormat="0">
      <alignment vertical="center"/>
    </xf>
    <xf numFmtId="206" fontId="65" fillId="21" borderId="0" applyNumberFormat="0">
      <alignment vertical="center"/>
    </xf>
    <xf numFmtId="206" fontId="65" fillId="21" borderId="0" applyNumberFormat="0">
      <alignment vertical="center"/>
    </xf>
    <xf numFmtId="0" fontId="65" fillId="21" borderId="36" applyNumberFormat="0">
      <alignment vertical="center"/>
    </xf>
    <xf numFmtId="0" fontId="73" fillId="48" borderId="0" applyNumberFormat="0" applyFill="0" applyBorder="0" applyAlignment="0">
      <alignment horizontal="center" vertical="center"/>
    </xf>
    <xf numFmtId="206" fontId="65" fillId="0" borderId="0">
      <alignment vertical="center"/>
      <protection locked="0"/>
    </xf>
    <xf numFmtId="206" fontId="65" fillId="0" borderId="0">
      <alignment vertical="center"/>
      <protection locked="0"/>
    </xf>
    <xf numFmtId="218" fontId="65" fillId="0" borderId="0">
      <alignment vertical="center"/>
      <protection locked="0"/>
    </xf>
    <xf numFmtId="205" fontId="65" fillId="0" borderId="37">
      <alignment vertical="center"/>
    </xf>
    <xf numFmtId="38" fontId="10" fillId="21" borderId="0" applyNumberFormat="0" applyBorder="0" applyAlignment="0" applyProtection="0"/>
    <xf numFmtId="0" fontId="74" fillId="21" borderId="38" applyNumberFormat="0">
      <alignment vertical="center"/>
    </xf>
    <xf numFmtId="206" fontId="75" fillId="49" borderId="0" applyNumberFormat="0">
      <alignment vertical="center"/>
    </xf>
    <xf numFmtId="0" fontId="75" fillId="49" borderId="38" applyNumberFormat="0">
      <alignment vertical="center"/>
    </xf>
    <xf numFmtId="0" fontId="76" fillId="0" borderId="39" applyFill="0" applyAlignment="0" applyProtection="0"/>
    <xf numFmtId="0" fontId="4" fillId="0" borderId="40" applyNumberFormat="0" applyAlignment="0" applyProtection="0">
      <alignment horizontal="left" vertical="center"/>
    </xf>
    <xf numFmtId="0" fontId="4" fillId="0" borderId="41">
      <alignment horizontal="left" vertical="center"/>
    </xf>
    <xf numFmtId="170" fontId="37" fillId="0" borderId="0" applyFill="0" applyBorder="0" applyAlignment="0"/>
    <xf numFmtId="0" fontId="77" fillId="26" borderId="0"/>
    <xf numFmtId="0" fontId="78" fillId="49" borderId="0"/>
    <xf numFmtId="0" fontId="79" fillId="0" borderId="42"/>
    <xf numFmtId="0" fontId="80" fillId="0" borderId="0">
      <alignment vertical="center"/>
    </xf>
    <xf numFmtId="0" fontId="81" fillId="0" borderId="0"/>
    <xf numFmtId="219" fontId="10" fillId="0" borderId="0" applyFill="0" applyBorder="0"/>
    <xf numFmtId="0" fontId="82" fillId="0" borderId="0" applyNumberFormat="0" applyFill="0" applyBorder="0" applyAlignment="0" applyProtection="0">
      <alignment vertical="top"/>
      <protection locked="0"/>
    </xf>
    <xf numFmtId="10" fontId="10" fillId="22" borderId="30" applyNumberFormat="0" applyBorder="0" applyAlignment="0" applyProtection="0"/>
    <xf numFmtId="205" fontId="83" fillId="45" borderId="43" applyNumberFormat="0">
      <alignment vertical="center"/>
      <protection locked="0"/>
    </xf>
    <xf numFmtId="43" fontId="65" fillId="2" borderId="0" applyNumberFormat="0">
      <alignment vertical="center"/>
      <protection locked="0"/>
    </xf>
    <xf numFmtId="205" fontId="65" fillId="2" borderId="43" applyNumberFormat="0">
      <alignment vertical="center"/>
      <protection locked="0"/>
    </xf>
    <xf numFmtId="0" fontId="58" fillId="28" borderId="31" applyNumberFormat="0" applyAlignment="0" applyProtection="0"/>
    <xf numFmtId="0" fontId="65" fillId="42" borderId="0" applyNumberFormat="0">
      <alignment vertical="center"/>
      <protection locked="0"/>
    </xf>
    <xf numFmtId="0" fontId="65" fillId="42" borderId="43" applyNumberFormat="0">
      <alignment vertical="center"/>
      <protection locked="0"/>
    </xf>
    <xf numFmtId="0" fontId="58" fillId="28" borderId="31" applyNumberFormat="0" applyAlignment="0" applyProtection="0"/>
    <xf numFmtId="0" fontId="58" fillId="28" borderId="31" applyNumberFormat="0" applyAlignment="0" applyProtection="0"/>
    <xf numFmtId="0" fontId="58" fillId="28" borderId="31" applyNumberFormat="0" applyAlignment="0" applyProtection="0"/>
    <xf numFmtId="0" fontId="58" fillId="28" borderId="31" applyNumberFormat="0" applyAlignment="0" applyProtection="0"/>
    <xf numFmtId="0" fontId="58" fillId="28" borderId="31" applyNumberFormat="0" applyAlignment="0" applyProtection="0"/>
    <xf numFmtId="0" fontId="5" fillId="0" borderId="1" applyNumberFormat="0" applyAlignment="0">
      <alignment vertical="center"/>
      <protection locked="0"/>
    </xf>
    <xf numFmtId="1" fontId="84" fillId="0" borderId="0"/>
    <xf numFmtId="0" fontId="19" fillId="0" borderId="0" applyFont="0" applyFill="0" applyBorder="0" applyAlignment="0" applyProtection="0"/>
    <xf numFmtId="0" fontId="19" fillId="0" borderId="0" applyFont="0" applyFill="0" applyBorder="0" applyAlignment="0" applyProtection="0"/>
    <xf numFmtId="38" fontId="85" fillId="0" borderId="0"/>
    <xf numFmtId="38" fontId="86" fillId="0" borderId="0"/>
    <xf numFmtId="38" fontId="87" fillId="0" borderId="0"/>
    <xf numFmtId="0" fontId="88" fillId="0" borderId="0"/>
    <xf numFmtId="0" fontId="88" fillId="0" borderId="0"/>
    <xf numFmtId="0" fontId="89" fillId="0" borderId="0"/>
    <xf numFmtId="170" fontId="37" fillId="0" borderId="44">
      <alignment vertical="top"/>
    </xf>
    <xf numFmtId="193" fontId="42" fillId="0" borderId="21">
      <alignment horizontal="left" vertical="center"/>
    </xf>
    <xf numFmtId="0" fontId="29" fillId="0" borderId="0" applyNumberFormat="0" applyFont="0" applyFill="0" applyBorder="0" applyProtection="0">
      <alignment horizontal="left" vertical="center"/>
    </xf>
    <xf numFmtId="0" fontId="90" fillId="0" borderId="0" applyNumberFormat="0" applyBorder="0" applyProtection="0">
      <alignment vertical="top"/>
    </xf>
    <xf numFmtId="220" fontId="10" fillId="0" borderId="0" applyFill="0" applyBorder="0" applyProtection="0"/>
    <xf numFmtId="4" fontId="91" fillId="0" borderId="0" applyFont="0" applyFill="0" applyBorder="0" applyAlignment="0" applyProtection="0"/>
    <xf numFmtId="221" fontId="92" fillId="0" borderId="0" applyFont="0" applyFill="0" applyBorder="0" applyAlignment="0" applyProtection="0"/>
    <xf numFmtId="222" fontId="92" fillId="0" borderId="0" applyFont="0" applyFill="0" applyBorder="0" applyAlignment="0" applyProtection="0"/>
    <xf numFmtId="0" fontId="10" fillId="0" borderId="0"/>
    <xf numFmtId="223" fontId="92" fillId="0" borderId="0" applyFont="0" applyFill="0" applyBorder="0" applyAlignment="0" applyProtection="0"/>
    <xf numFmtId="224" fontId="92" fillId="0" borderId="0" applyFont="0" applyFill="0" applyBorder="0" applyAlignment="0" applyProtection="0"/>
    <xf numFmtId="17" fontId="37" fillId="0" borderId="0">
      <alignment horizontal="center"/>
    </xf>
    <xf numFmtId="225" fontId="10" fillId="0" borderId="0" applyFill="0" applyBorder="0"/>
    <xf numFmtId="226" fontId="10" fillId="0" borderId="0"/>
    <xf numFmtId="227" fontId="10" fillId="0" borderId="0" applyFill="0" applyAlignment="0"/>
    <xf numFmtId="0" fontId="83" fillId="42" borderId="45" applyNumberFormat="0" applyFont="0" applyFill="0" applyAlignment="0" applyProtection="0">
      <alignment vertical="center"/>
      <protection locked="0"/>
    </xf>
    <xf numFmtId="0" fontId="17" fillId="0" borderId="0" applyNumberFormat="0" applyBorder="0">
      <alignment horizontal="left" vertical="top"/>
    </xf>
    <xf numFmtId="0" fontId="93" fillId="42" borderId="45" applyNumberFormat="0" applyFill="0" applyAlignment="0" applyProtection="0">
      <alignment vertical="center"/>
      <protection locked="0"/>
    </xf>
    <xf numFmtId="0" fontId="94" fillId="0" borderId="0"/>
    <xf numFmtId="37" fontId="95" fillId="0" borderId="0"/>
    <xf numFmtId="200" fontId="50" fillId="0" borderId="0"/>
    <xf numFmtId="0" fontId="5" fillId="0" borderId="0"/>
    <xf numFmtId="0" fontId="19" fillId="0" borderId="0"/>
    <xf numFmtId="0" fontId="2" fillId="0" borderId="0"/>
    <xf numFmtId="0" fontId="2" fillId="0" borderId="0"/>
    <xf numFmtId="170" fontId="47" fillId="0" borderId="0">
      <alignment horizontal="right" vertical="center"/>
    </xf>
    <xf numFmtId="228" fontId="19" fillId="0" borderId="0" applyFill="0" applyBorder="0" applyProtection="0">
      <alignment vertical="center"/>
    </xf>
    <xf numFmtId="168" fontId="19" fillId="45" borderId="30"/>
    <xf numFmtId="0" fontId="48" fillId="50" borderId="46" applyAlignment="0" applyProtection="0"/>
    <xf numFmtId="10" fontId="19" fillId="0" borderId="0"/>
    <xf numFmtId="9" fontId="19" fillId="0" borderId="0" applyFont="0" applyFill="0" applyBorder="0" applyAlignment="0" applyProtection="0"/>
    <xf numFmtId="9" fontId="5" fillId="0" borderId="0" applyFont="0" applyFill="0" applyBorder="0" applyAlignment="0" applyProtection="0"/>
    <xf numFmtId="0" fontId="10" fillId="0" borderId="0">
      <alignment horizontal="center"/>
    </xf>
    <xf numFmtId="229" fontId="65" fillId="24" borderId="47" applyFont="0" applyFill="0" applyBorder="0" applyAlignment="0" applyProtection="0">
      <alignment horizontal="center" vertical="center"/>
    </xf>
    <xf numFmtId="0" fontId="10" fillId="21" borderId="30"/>
    <xf numFmtId="0" fontId="50" fillId="0" borderId="0" applyFill="0" applyBorder="0">
      <alignment vertical="top"/>
    </xf>
    <xf numFmtId="0" fontId="91" fillId="0" borderId="0" applyFill="0" applyBorder="0">
      <alignment vertical="top"/>
    </xf>
    <xf numFmtId="49" fontId="5" fillId="0" borderId="0">
      <alignment horizontal="right"/>
    </xf>
    <xf numFmtId="230" fontId="19" fillId="0" borderId="0" applyNumberFormat="0" applyFill="0" applyBorder="0" applyAlignment="0" applyProtection="0">
      <alignment horizontal="left"/>
    </xf>
    <xf numFmtId="0" fontId="4" fillId="0" borderId="0"/>
    <xf numFmtId="0" fontId="96" fillId="51" borderId="0"/>
    <xf numFmtId="0" fontId="96" fillId="51" borderId="0">
      <alignment wrapText="1"/>
    </xf>
    <xf numFmtId="0" fontId="97" fillId="21" borderId="48"/>
    <xf numFmtId="231" fontId="98" fillId="0" borderId="0" applyNumberFormat="0" applyFont="0" applyBorder="0">
      <alignment horizontal="left"/>
    </xf>
    <xf numFmtId="1" fontId="99" fillId="0" borderId="0">
      <alignment vertical="center"/>
    </xf>
    <xf numFmtId="0" fontId="50" fillId="0" borderId="0"/>
    <xf numFmtId="0" fontId="19" fillId="15" borderId="30"/>
    <xf numFmtId="0" fontId="100" fillId="0" borderId="30">
      <alignment horizontal="center"/>
    </xf>
    <xf numFmtId="0" fontId="19" fillId="0" borderId="0" applyNumberFormat="0" applyFill="0" applyBorder="0" applyAlignment="0" applyProtection="0"/>
    <xf numFmtId="0" fontId="100" fillId="0" borderId="0">
      <alignment horizontal="center" vertical="center"/>
    </xf>
    <xf numFmtId="0" fontId="101" fillId="52" borderId="0" applyNumberFormat="0" applyFill="0">
      <alignment horizontal="left" vertical="center"/>
    </xf>
    <xf numFmtId="0" fontId="102" fillId="0" borderId="0" applyNumberFormat="0" applyBorder="0" applyProtection="0">
      <alignment vertical="top"/>
    </xf>
    <xf numFmtId="0" fontId="103" fillId="0" borderId="0">
      <alignment vertical="top"/>
    </xf>
    <xf numFmtId="0" fontId="104" fillId="49" borderId="0"/>
    <xf numFmtId="0" fontId="105" fillId="0" borderId="0"/>
    <xf numFmtId="0" fontId="106" fillId="21" borderId="49"/>
    <xf numFmtId="4" fontId="107" fillId="0" borderId="4"/>
    <xf numFmtId="205" fontId="108" fillId="0" borderId="50">
      <alignment vertical="center"/>
    </xf>
    <xf numFmtId="40" fontId="19" fillId="0" borderId="0" applyBorder="0">
      <alignment horizontal="right"/>
    </xf>
    <xf numFmtId="167" fontId="80" fillId="0" borderId="0"/>
    <xf numFmtId="0" fontId="89" fillId="15" borderId="30">
      <alignment horizontal="right"/>
    </xf>
    <xf numFmtId="232" fontId="10" fillId="0" borderId="0" applyFill="0" applyBorder="0" applyProtection="0"/>
    <xf numFmtId="3" fontId="8" fillId="0" borderId="0" applyNumberFormat="0"/>
    <xf numFmtId="205" fontId="109" fillId="53" borderId="0" applyNumberFormat="0">
      <alignment vertical="center"/>
    </xf>
    <xf numFmtId="205" fontId="110" fillId="42" borderId="0" applyNumberFormat="0">
      <alignment vertical="center"/>
    </xf>
    <xf numFmtId="205" fontId="7" fillId="0" borderId="0" applyNumberFormat="0">
      <alignment vertical="center"/>
    </xf>
    <xf numFmtId="205" fontId="108" fillId="0" borderId="0" applyNumberFormat="0">
      <alignment vertical="center"/>
    </xf>
    <xf numFmtId="3" fontId="111" fillId="0" borderId="0"/>
    <xf numFmtId="0" fontId="19" fillId="21" borderId="0" applyNumberFormat="0" applyFont="0" applyBorder="0" applyAlignment="0"/>
    <xf numFmtId="0" fontId="8" fillId="0" borderId="41">
      <alignment horizontal="right" wrapText="1"/>
    </xf>
    <xf numFmtId="205" fontId="108" fillId="0" borderId="51">
      <alignment vertical="center"/>
    </xf>
    <xf numFmtId="205" fontId="108" fillId="0" borderId="50">
      <alignment vertical="center"/>
    </xf>
    <xf numFmtId="0" fontId="37" fillId="0" borderId="0"/>
    <xf numFmtId="168" fontId="19" fillId="0" borderId="52"/>
    <xf numFmtId="0" fontId="5" fillId="0" borderId="0" applyProtection="0">
      <alignment vertical="center"/>
    </xf>
    <xf numFmtId="0" fontId="112"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4" fontId="19" fillId="0" borderId="0" applyFont="0" applyFill="0" applyBorder="0" applyAlignment="0" applyProtection="0"/>
    <xf numFmtId="0" fontId="92" fillId="0" borderId="0" applyNumberFormat="0" applyFont="0" applyFill="0" applyBorder="0" applyProtection="0">
      <alignment horizontal="center" vertical="center" wrapText="1"/>
    </xf>
    <xf numFmtId="233" fontId="29" fillId="0" borderId="0"/>
    <xf numFmtId="0" fontId="37" fillId="0" borderId="0">
      <alignment horizontal="center"/>
    </xf>
    <xf numFmtId="234" fontId="37" fillId="0" borderId="0"/>
    <xf numFmtId="235" fontId="10" fillId="0" borderId="0" applyFill="0" applyProtection="0"/>
    <xf numFmtId="0" fontId="113" fillId="0" borderId="0"/>
    <xf numFmtId="0" fontId="113" fillId="0" borderId="53" applyNumberFormat="0" applyProtection="0"/>
    <xf numFmtId="0" fontId="114" fillId="27" borderId="54" applyNumberFormat="0" applyAlignment="0" applyProtection="0"/>
    <xf numFmtId="0" fontId="115" fillId="0" borderId="0" applyNumberFormat="0" applyAlignment="0" applyProtection="0"/>
    <xf numFmtId="0" fontId="115" fillId="0" borderId="55" applyNumberFormat="0" applyAlignment="0" applyProtection="0"/>
    <xf numFmtId="0" fontId="113" fillId="0" borderId="55" applyNumberFormat="0" applyAlignment="0" applyProtection="0"/>
    <xf numFmtId="0" fontId="116" fillId="0" borderId="0" applyNumberFormat="0" applyAlignment="0" applyProtection="0"/>
    <xf numFmtId="0" fontId="116" fillId="0" borderId="55" applyNumberFormat="0" applyAlignment="0" applyProtection="0"/>
    <xf numFmtId="0" fontId="113" fillId="23" borderId="56" applyNumberFormat="0" applyProtection="0"/>
    <xf numFmtId="0" fontId="113" fillId="23" borderId="57"/>
    <xf numFmtId="0" fontId="115" fillId="23" borderId="57"/>
    <xf numFmtId="0" fontId="113" fillId="54" borderId="0" applyNumberFormat="0" applyAlignment="0" applyProtection="0"/>
    <xf numFmtId="0" fontId="117" fillId="0" borderId="0" applyNumberFormat="0" applyAlignment="0" applyProtection="0"/>
    <xf numFmtId="0" fontId="118" fillId="0" borderId="0" applyNumberFormat="0" applyAlignment="0" applyProtection="0"/>
    <xf numFmtId="0" fontId="113" fillId="55" borderId="58"/>
    <xf numFmtId="165" fontId="119" fillId="0" borderId="0" applyNumberFormat="0" applyAlignment="0">
      <alignment vertical="center"/>
    </xf>
    <xf numFmtId="0" fontId="120" fillId="56" borderId="0" applyNumberFormat="0" applyAlignment="0" applyProtection="0"/>
    <xf numFmtId="0" fontId="5" fillId="6" borderId="3">
      <alignment vertical="center"/>
    </xf>
    <xf numFmtId="0" fontId="17" fillId="0" borderId="59" applyNumberFormat="0" applyFill="0" applyBorder="0" applyAlignment="0" applyProtection="0">
      <alignment horizontal="left" vertical="center" wrapText="1"/>
    </xf>
    <xf numFmtId="0" fontId="124" fillId="57" borderId="0" applyNumberFormat="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38">
    <xf numFmtId="0" fontId="0" fillId="0" borderId="0" xfId="0">
      <alignment vertical="center"/>
    </xf>
    <xf numFmtId="0" fontId="0" fillId="0" borderId="0" xfId="0" applyFill="1">
      <alignment vertical="center"/>
    </xf>
    <xf numFmtId="0" fontId="7" fillId="0" borderId="0" xfId="4" applyFill="1" applyAlignment="1"/>
    <xf numFmtId="0" fontId="4" fillId="0" borderId="0" xfId="5" applyAlignment="1"/>
    <xf numFmtId="0" fontId="0" fillId="0" borderId="0" xfId="0">
      <alignment vertical="center"/>
    </xf>
    <xf numFmtId="0" fontId="7" fillId="0" borderId="0" xfId="4">
      <alignment vertical="center"/>
    </xf>
    <xf numFmtId="164" fontId="5" fillId="2" borderId="0" xfId="7" applyNumberFormat="1">
      <alignment vertical="center"/>
    </xf>
    <xf numFmtId="0" fontId="10" fillId="0" borderId="0" xfId="9">
      <alignment vertical="center"/>
    </xf>
    <xf numFmtId="0" fontId="8" fillId="0" borderId="0" xfId="6">
      <alignment vertical="center"/>
    </xf>
    <xf numFmtId="0" fontId="4" fillId="0" borderId="0" xfId="5" applyAlignment="1">
      <alignment vertical="center"/>
    </xf>
    <xf numFmtId="164" fontId="12" fillId="0" borderId="0" xfId="8" applyNumberFormat="1">
      <alignment vertical="center"/>
    </xf>
    <xf numFmtId="164" fontId="10" fillId="0" borderId="0" xfId="9" applyNumberFormat="1">
      <alignment vertical="center"/>
    </xf>
    <xf numFmtId="0" fontId="6" fillId="0" borderId="0" xfId="3">
      <alignment vertical="center"/>
    </xf>
    <xf numFmtId="0" fontId="0" fillId="0" borderId="0" xfId="15" applyFont="1">
      <alignment vertical="center"/>
    </xf>
    <xf numFmtId="0" fontId="0" fillId="0" borderId="0" xfId="0"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7" fillId="0" borderId="0" xfId="4" applyFill="1" applyAlignment="1">
      <alignment horizontal="left"/>
    </xf>
    <xf numFmtId="0" fontId="0" fillId="0" borderId="0" xfId="0" applyAlignment="1">
      <alignment horizontal="left" vertical="center" wrapText="1" indent="1"/>
    </xf>
    <xf numFmtId="0" fontId="0" fillId="0" borderId="0" xfId="0" applyFont="1" applyAlignment="1">
      <alignment vertical="center"/>
    </xf>
    <xf numFmtId="165" fontId="18" fillId="0" borderId="0" xfId="2">
      <alignment vertical="center"/>
    </xf>
    <xf numFmtId="0" fontId="13" fillId="0" borderId="0" xfId="0" applyFont="1" applyAlignment="1">
      <alignment vertical="center"/>
    </xf>
    <xf numFmtId="0" fontId="5" fillId="0" borderId="0" xfId="0" applyFont="1" applyAlignment="1">
      <alignment vertical="center"/>
    </xf>
    <xf numFmtId="0" fontId="15" fillId="0" borderId="0" xfId="0" applyFont="1">
      <alignment vertical="center"/>
    </xf>
    <xf numFmtId="0" fontId="14" fillId="0" borderId="0" xfId="0" applyFont="1">
      <alignment vertical="center"/>
    </xf>
    <xf numFmtId="0" fontId="8" fillId="0" borderId="0" xfId="0" applyFont="1" applyAlignment="1">
      <alignment horizontal="left" vertical="center" wrapText="1" indent="1"/>
    </xf>
    <xf numFmtId="0" fontId="0" fillId="0" borderId="0" xfId="0" applyAlignment="1">
      <alignment vertical="center"/>
    </xf>
    <xf numFmtId="0" fontId="7" fillId="0" borderId="0" xfId="4" applyFont="1" applyFill="1" applyAlignment="1">
      <alignment horizontal="left"/>
    </xf>
    <xf numFmtId="0" fontId="4" fillId="0" borderId="0" xfId="5" applyFont="1" applyAlignment="1"/>
    <xf numFmtId="0" fontId="0" fillId="0" borderId="0" xfId="0" applyFill="1" applyBorder="1">
      <alignment vertical="center"/>
    </xf>
    <xf numFmtId="0" fontId="8" fillId="0" borderId="0" xfId="0" applyFont="1" applyAlignment="1">
      <alignment vertical="center"/>
    </xf>
    <xf numFmtId="0" fontId="4" fillId="0" borderId="0" xfId="0" applyFont="1">
      <alignment vertical="center"/>
    </xf>
    <xf numFmtId="164" fontId="0" fillId="0" borderId="0" xfId="0" applyNumberFormat="1" applyBorder="1">
      <alignment vertical="center"/>
    </xf>
    <xf numFmtId="0" fontId="13" fillId="0" borderId="0" xfId="0" applyFont="1" applyBorder="1">
      <alignment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lignment vertical="center"/>
    </xf>
    <xf numFmtId="164" fontId="17" fillId="0" borderId="0" xfId="9" applyNumberFormat="1" applyFont="1">
      <alignment vertical="center"/>
    </xf>
    <xf numFmtId="0" fontId="7" fillId="0" borderId="0" xfId="4" applyFont="1">
      <alignment vertical="center"/>
    </xf>
    <xf numFmtId="0" fontId="0" fillId="0" borderId="0" xfId="0" applyFill="1">
      <alignment vertical="center"/>
    </xf>
    <xf numFmtId="0" fontId="9" fillId="0" borderId="0" xfId="0" applyFont="1" applyAlignment="1"/>
    <xf numFmtId="0" fontId="9" fillId="0" borderId="0" xfId="0" applyFont="1" applyAlignment="1">
      <alignment horizontal="right"/>
    </xf>
    <xf numFmtId="0" fontId="0" fillId="0" borderId="0" xfId="0" applyBorder="1">
      <alignment vertical="center"/>
    </xf>
    <xf numFmtId="0" fontId="9" fillId="0" borderId="0" xfId="0" applyFont="1" applyAlignment="1">
      <alignment horizontal="left"/>
    </xf>
    <xf numFmtId="0" fontId="0" fillId="0" borderId="0" xfId="0">
      <alignment vertical="center"/>
    </xf>
    <xf numFmtId="0" fontId="6" fillId="0" borderId="0" xfId="0" applyFont="1" applyFill="1">
      <alignment vertical="center"/>
    </xf>
    <xf numFmtId="164" fontId="5" fillId="4" borderId="0" xfId="19" applyNumberForma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0" fontId="13" fillId="0" borderId="0" xfId="0" applyFont="1" applyBorder="1" applyAlignment="1">
      <alignment vertical="center"/>
    </xf>
    <xf numFmtId="164" fontId="5" fillId="0" borderId="1" xfId="17" applyNumberFormat="1">
      <alignment vertical="center"/>
      <protection locked="0"/>
    </xf>
    <xf numFmtId="0" fontId="0" fillId="0" borderId="0" xfId="0" applyFont="1" applyAlignment="1">
      <alignment horizontal="left" vertical="center"/>
    </xf>
    <xf numFmtId="164" fontId="5" fillId="0" borderId="2" xfId="16" applyNumberFormat="1">
      <alignment vertical="center"/>
      <protection locked="0"/>
    </xf>
    <xf numFmtId="0" fontId="0" fillId="0" borderId="0" xfId="0" applyFont="1">
      <alignment vertical="center"/>
    </xf>
    <xf numFmtId="2" fontId="5" fillId="0" borderId="2" xfId="16" applyNumberFormat="1">
      <alignment vertical="center"/>
      <protection locked="0"/>
    </xf>
    <xf numFmtId="0" fontId="17" fillId="0" borderId="0" xfId="18" applyAlignment="1">
      <alignment vertical="center"/>
    </xf>
    <xf numFmtId="0" fontId="17" fillId="0" borderId="0" xfId="18" applyAlignment="1"/>
    <xf numFmtId="0" fontId="9" fillId="0" borderId="0" xfId="26" applyFont="1" applyFill="1">
      <alignment vertical="center"/>
    </xf>
    <xf numFmtId="0" fontId="9" fillId="0" borderId="0" xfId="26" applyFill="1" applyBorder="1">
      <alignment vertical="center"/>
    </xf>
    <xf numFmtId="0" fontId="0" fillId="0" borderId="0" xfId="25" applyFont="1" applyFill="1"/>
    <xf numFmtId="0" fontId="0" fillId="23" borderId="0" xfId="0" applyFont="1" applyFill="1">
      <alignment vertical="center"/>
    </xf>
    <xf numFmtId="198" fontId="5" fillId="23" borderId="29" xfId="119" applyNumberFormat="1" applyFont="1" applyFill="1" applyBorder="1" applyAlignment="1">
      <alignment horizontal="right" vertical="center"/>
    </xf>
    <xf numFmtId="199" fontId="5" fillId="23" borderId="0" xfId="264" applyNumberFormat="1" applyFont="1" applyFill="1" applyBorder="1">
      <alignment vertical="center"/>
    </xf>
    <xf numFmtId="0" fontId="4" fillId="0" borderId="0" xfId="5" applyFill="1" applyAlignment="1">
      <alignment vertical="center"/>
    </xf>
    <xf numFmtId="0" fontId="8" fillId="0" borderId="0" xfId="0" applyFont="1" applyFill="1">
      <alignment vertical="center"/>
    </xf>
    <xf numFmtId="0" fontId="5" fillId="0" borderId="0" xfId="15">
      <alignment vertical="center"/>
    </xf>
    <xf numFmtId="168" fontId="0" fillId="0" borderId="0" xfId="23" applyNumberFormat="1" applyFont="1" applyAlignment="1">
      <alignment vertical="center"/>
    </xf>
    <xf numFmtId="0" fontId="13" fillId="0" borderId="0" xfId="0" applyFont="1">
      <alignment vertical="center"/>
    </xf>
    <xf numFmtId="168" fontId="8" fillId="0" borderId="0" xfId="23" applyNumberFormat="1" applyFont="1" applyAlignment="1">
      <alignment vertical="center"/>
    </xf>
    <xf numFmtId="2" fontId="0" fillId="0" borderId="0" xfId="0" applyNumberFormat="1">
      <alignment vertical="center"/>
    </xf>
    <xf numFmtId="0" fontId="4" fillId="41" borderId="0" xfId="5" applyFill="1" applyAlignment="1">
      <alignment vertical="center"/>
    </xf>
    <xf numFmtId="0" fontId="59" fillId="41" borderId="0" xfId="773" applyFill="1" applyAlignment="1">
      <alignment vertical="center"/>
    </xf>
    <xf numFmtId="0" fontId="10" fillId="41" borderId="0" xfId="9" applyFill="1" applyAlignment="1">
      <alignment vertical="center"/>
    </xf>
    <xf numFmtId="0" fontId="5" fillId="0" borderId="0" xfId="774">
      <alignment vertical="center"/>
    </xf>
    <xf numFmtId="0" fontId="8" fillId="41" borderId="0" xfId="6" applyFill="1" applyAlignment="1">
      <alignment vertical="center"/>
    </xf>
    <xf numFmtId="164" fontId="5" fillId="0" borderId="0" xfId="774" applyNumberFormat="1">
      <alignment vertical="center"/>
    </xf>
    <xf numFmtId="0" fontId="24" fillId="0" borderId="0" xfId="0" applyFont="1">
      <alignment vertical="center"/>
    </xf>
    <xf numFmtId="0" fontId="8" fillId="0" borderId="0" xfId="25" applyFont="1" applyFill="1"/>
    <xf numFmtId="200" fontId="0" fillId="0" borderId="0" xfId="0" applyNumberFormat="1">
      <alignment vertical="center"/>
    </xf>
    <xf numFmtId="43" fontId="0" fillId="0" borderId="0" xfId="0" applyNumberFormat="1">
      <alignment vertical="center"/>
    </xf>
    <xf numFmtId="200" fontId="5" fillId="0" borderId="2" xfId="16" applyNumberFormat="1">
      <alignment vertical="center"/>
      <protection locked="0"/>
    </xf>
    <xf numFmtId="0" fontId="8" fillId="0" borderId="0" xfId="0" applyFont="1" applyFill="1" applyBorder="1">
      <alignment vertical="center"/>
    </xf>
    <xf numFmtId="2" fontId="5" fillId="0" borderId="0" xfId="16" applyNumberFormat="1" applyFill="1" applyBorder="1">
      <alignment vertical="center"/>
      <protection locked="0"/>
    </xf>
    <xf numFmtId="0" fontId="108" fillId="0" borderId="0" xfId="5" applyFont="1" applyAlignment="1">
      <alignment vertical="center"/>
    </xf>
    <xf numFmtId="2" fontId="17" fillId="23" borderId="0" xfId="18" applyNumberFormat="1" applyFill="1" applyAlignment="1">
      <alignment vertical="center"/>
    </xf>
    <xf numFmtId="200" fontId="0" fillId="0" borderId="0" xfId="0" applyNumberFormat="1" applyFill="1">
      <alignment vertical="center"/>
    </xf>
    <xf numFmtId="0" fontId="0" fillId="0" borderId="0" xfId="774" applyFont="1">
      <alignment vertical="center"/>
    </xf>
    <xf numFmtId="0" fontId="13" fillId="0" borderId="0" xfId="774" applyFont="1">
      <alignment vertical="center"/>
    </xf>
    <xf numFmtId="0" fontId="8" fillId="0" borderId="0" xfId="0" applyFont="1" applyAlignment="1">
      <alignment vertical="center" wrapText="1"/>
    </xf>
    <xf numFmtId="0" fontId="57" fillId="0" borderId="0" xfId="0" applyFont="1" applyAlignment="1">
      <alignment vertical="center" wrapText="1"/>
    </xf>
    <xf numFmtId="9" fontId="17" fillId="0" borderId="0" xfId="18" applyNumberFormat="1" applyAlignment="1">
      <alignment horizontal="center" vertical="center"/>
    </xf>
    <xf numFmtId="0" fontId="12" fillId="0" borderId="0" xfId="8">
      <alignment vertical="center"/>
    </xf>
    <xf numFmtId="0" fontId="5" fillId="0" borderId="0" xfId="15" applyProtection="1">
      <alignment vertical="center"/>
      <protection locked="0"/>
    </xf>
    <xf numFmtId="0" fontId="8" fillId="0" borderId="0" xfId="15" applyFont="1">
      <alignment vertical="center"/>
    </xf>
    <xf numFmtId="0" fontId="12" fillId="0" borderId="0" xfId="8" applyAlignment="1">
      <alignment horizontal="left" vertical="center"/>
    </xf>
    <xf numFmtId="200" fontId="5" fillId="0" borderId="0" xfId="15" applyNumberFormat="1">
      <alignment vertical="center"/>
    </xf>
    <xf numFmtId="2" fontId="5" fillId="0" borderId="0" xfId="15" applyNumberFormat="1">
      <alignment vertical="center"/>
    </xf>
    <xf numFmtId="0" fontId="23" fillId="0" borderId="0" xfId="0" applyFont="1" applyAlignment="1">
      <alignment horizontal="center" vertical="center"/>
    </xf>
    <xf numFmtId="2" fontId="0" fillId="0" borderId="0" xfId="0" applyNumberFormat="1" applyFill="1">
      <alignment vertical="center"/>
    </xf>
    <xf numFmtId="2" fontId="5" fillId="0" borderId="0" xfId="15" applyNumberFormat="1" applyProtection="1">
      <alignment vertical="center"/>
      <protection locked="0"/>
    </xf>
    <xf numFmtId="2" fontId="0" fillId="4" borderId="0" xfId="19" applyNumberFormat="1" applyFont="1">
      <alignment vertical="center"/>
    </xf>
    <xf numFmtId="168" fontId="5" fillId="0" borderId="0" xfId="23" applyNumberFormat="1" applyFill="1" applyAlignment="1" applyProtection="1">
      <alignment vertical="center"/>
      <protection locked="0"/>
    </xf>
    <xf numFmtId="1" fontId="5" fillId="0" borderId="0" xfId="19" applyNumberFormat="1" applyFill="1" applyProtection="1">
      <alignment vertical="center"/>
      <protection locked="0"/>
    </xf>
    <xf numFmtId="0" fontId="5" fillId="0" borderId="0" xfId="774" applyFont="1">
      <alignment vertical="center"/>
    </xf>
    <xf numFmtId="0" fontId="18" fillId="0" borderId="0" xfId="2" applyNumberFormat="1">
      <alignment vertical="center"/>
    </xf>
    <xf numFmtId="168" fontId="18" fillId="0" borderId="0" xfId="2" applyNumberFormat="1" applyAlignment="1">
      <alignment vertical="center"/>
    </xf>
    <xf numFmtId="167" fontId="5" fillId="0" borderId="0" xfId="24" applyNumberFormat="1" applyFill="1" applyAlignment="1" applyProtection="1">
      <alignment vertical="center"/>
      <protection locked="0"/>
    </xf>
    <xf numFmtId="0" fontId="12" fillId="0" borderId="0" xfId="8" applyNumberFormat="1">
      <alignment vertical="center"/>
    </xf>
    <xf numFmtId="168" fontId="5" fillId="4" borderId="0" xfId="19" applyNumberFormat="1" applyAlignment="1" applyProtection="1">
      <alignment vertical="center"/>
      <protection locked="0"/>
    </xf>
    <xf numFmtId="0" fontId="8" fillId="0" borderId="0" xfId="6" applyFill="1" applyAlignment="1">
      <alignment vertical="center"/>
    </xf>
    <xf numFmtId="0" fontId="5" fillId="0" borderId="0" xfId="774" applyFill="1">
      <alignment vertical="center"/>
    </xf>
    <xf numFmtId="0" fontId="6" fillId="0" borderId="0" xfId="26" applyFont="1" applyFill="1">
      <alignment vertical="center"/>
    </xf>
    <xf numFmtId="0" fontId="8" fillId="0" borderId="0" xfId="774" applyFont="1">
      <alignment vertical="center"/>
    </xf>
    <xf numFmtId="0" fontId="121" fillId="0" borderId="0" xfId="8" applyFont="1">
      <alignment vertical="center"/>
    </xf>
    <xf numFmtId="168" fontId="8" fillId="4" borderId="0" xfId="19" applyNumberFormat="1" applyFont="1" applyAlignment="1" applyProtection="1">
      <alignment vertical="center"/>
      <protection locked="0"/>
    </xf>
    <xf numFmtId="0" fontId="13" fillId="0" borderId="0" xfId="774" applyFont="1" applyFill="1">
      <alignment vertical="center"/>
    </xf>
    <xf numFmtId="168" fontId="5" fillId="0" borderId="0" xfId="19" applyNumberFormat="1" applyFill="1" applyAlignment="1" applyProtection="1">
      <alignment vertical="center"/>
      <protection locked="0"/>
    </xf>
    <xf numFmtId="9" fontId="5" fillId="0" borderId="0" xfId="24" applyAlignment="1" applyProtection="1">
      <alignment vertical="center"/>
      <protection locked="0"/>
    </xf>
    <xf numFmtId="0" fontId="0" fillId="23" borderId="0" xfId="0" applyFill="1">
      <alignment vertical="center"/>
    </xf>
    <xf numFmtId="0" fontId="17" fillId="0" borderId="0" xfId="18" applyFill="1" applyBorder="1" applyAlignment="1"/>
    <xf numFmtId="2" fontId="17" fillId="23" borderId="0" xfId="18" applyNumberFormat="1" applyFill="1" applyBorder="1" applyAlignment="1">
      <alignment vertical="center"/>
    </xf>
    <xf numFmtId="2" fontId="5" fillId="0" borderId="0" xfId="16" applyNumberFormat="1" applyBorder="1">
      <alignment vertical="center"/>
      <protection locked="0"/>
    </xf>
    <xf numFmtId="0" fontId="4" fillId="0" borderId="0" xfId="5" applyFont="1" applyFill="1" applyAlignment="1">
      <alignment vertical="center"/>
    </xf>
    <xf numFmtId="0" fontId="8" fillId="0" borderId="0" xfId="0" applyFont="1" applyFill="1" applyBorder="1" applyAlignment="1">
      <alignment horizontal="center" vertical="center"/>
    </xf>
    <xf numFmtId="167" fontId="18" fillId="0" borderId="0" xfId="24" applyNumberFormat="1" applyFont="1" applyAlignment="1">
      <alignment vertical="center"/>
    </xf>
    <xf numFmtId="167" fontId="18" fillId="0" borderId="0" xfId="2" applyNumberFormat="1" applyAlignment="1">
      <alignment vertical="center"/>
    </xf>
    <xf numFmtId="10" fontId="0" fillId="0" borderId="0" xfId="24" applyNumberFormat="1" applyFont="1" applyAlignment="1">
      <alignment vertical="center"/>
    </xf>
    <xf numFmtId="0" fontId="122" fillId="0" borderId="0" xfId="0" applyFont="1">
      <alignment vertical="center"/>
    </xf>
    <xf numFmtId="0" fontId="23" fillId="0" borderId="0" xfId="0" applyFont="1" applyFill="1" applyBorder="1" applyAlignment="1">
      <alignment horizontal="center" vertical="center"/>
    </xf>
    <xf numFmtId="168" fontId="0" fillId="0" borderId="0" xfId="0" applyNumberFormat="1">
      <alignment vertical="center"/>
    </xf>
    <xf numFmtId="167" fontId="0" fillId="0" borderId="0" xfId="24" applyNumberFormat="1" applyFont="1" applyAlignment="1">
      <alignment vertical="center"/>
    </xf>
    <xf numFmtId="236" fontId="0" fillId="0" borderId="0" xfId="0" applyNumberFormat="1">
      <alignment vertical="center"/>
    </xf>
    <xf numFmtId="2" fontId="0" fillId="0" borderId="0" xfId="0" applyNumberFormat="1" applyFill="1" applyBorder="1">
      <alignment vertical="center"/>
    </xf>
    <xf numFmtId="2" fontId="5" fillId="0" borderId="60" xfId="16" applyNumberFormat="1" applyBorder="1">
      <alignment vertical="center"/>
      <protection locked="0"/>
    </xf>
    <xf numFmtId="3" fontId="0" fillId="0" borderId="0" xfId="0" applyNumberFormat="1">
      <alignment vertical="center"/>
    </xf>
    <xf numFmtId="3" fontId="0" fillId="0" borderId="0" xfId="0" applyNumberFormat="1" applyFill="1">
      <alignment vertical="center"/>
    </xf>
    <xf numFmtId="2" fontId="5" fillId="0" borderId="2" xfId="16" applyNumberFormat="1" applyFill="1">
      <alignment vertical="center"/>
      <protection locked="0"/>
    </xf>
    <xf numFmtId="0" fontId="123" fillId="0" borderId="0" xfId="15" applyFont="1">
      <alignment vertical="center"/>
    </xf>
    <xf numFmtId="43" fontId="18" fillId="0" borderId="0" xfId="23" applyFont="1" applyAlignment="1">
      <alignment vertical="center"/>
    </xf>
    <xf numFmtId="167" fontId="0" fillId="0" borderId="0" xfId="0" applyNumberFormat="1">
      <alignment vertical="center"/>
    </xf>
    <xf numFmtId="9" fontId="5" fillId="0" borderId="2" xfId="16" applyNumberFormat="1" applyAlignment="1">
      <alignment vertical="center"/>
      <protection locked="0"/>
    </xf>
    <xf numFmtId="0" fontId="18" fillId="0" borderId="0" xfId="2" applyNumberFormat="1" applyFill="1">
      <alignment vertical="center"/>
    </xf>
    <xf numFmtId="10" fontId="0" fillId="0" borderId="0" xfId="0" applyNumberFormat="1">
      <alignment vertical="center"/>
    </xf>
    <xf numFmtId="2" fontId="0" fillId="0" borderId="2" xfId="16" applyNumberFormat="1" applyFont="1" applyFill="1">
      <alignment vertical="center"/>
      <protection locked="0"/>
    </xf>
    <xf numFmtId="43" fontId="5" fillId="0" borderId="2" xfId="23" applyBorder="1" applyAlignment="1" applyProtection="1">
      <alignment vertical="center"/>
      <protection locked="0"/>
    </xf>
    <xf numFmtId="9" fontId="18" fillId="0" borderId="0" xfId="24" applyFont="1" applyAlignment="1">
      <alignment vertical="center"/>
    </xf>
    <xf numFmtId="9" fontId="5" fillId="0" borderId="0" xfId="24" applyAlignment="1">
      <alignment vertical="center"/>
    </xf>
    <xf numFmtId="168" fontId="5" fillId="0" borderId="0" xfId="15" applyNumberFormat="1" applyProtection="1">
      <alignment vertical="center"/>
      <protection locked="0"/>
    </xf>
    <xf numFmtId="9" fontId="5" fillId="0" borderId="0" xfId="24" applyNumberFormat="1" applyFill="1" applyAlignment="1" applyProtection="1">
      <alignment vertical="center"/>
      <protection locked="0"/>
    </xf>
    <xf numFmtId="9" fontId="5" fillId="0" borderId="0" xfId="24" applyFill="1" applyAlignment="1" applyProtection="1">
      <alignment vertical="center"/>
      <protection locked="0"/>
    </xf>
    <xf numFmtId="43" fontId="5" fillId="0" borderId="0" xfId="23" applyFill="1" applyAlignment="1" applyProtection="1">
      <alignment vertical="center"/>
      <protection locked="0"/>
    </xf>
    <xf numFmtId="0" fontId="0" fillId="0" borderId="0" xfId="774" applyFont="1" applyFill="1">
      <alignment vertical="center"/>
    </xf>
    <xf numFmtId="0" fontId="12" fillId="0" borderId="0" xfId="8" applyFont="1">
      <alignment vertical="center"/>
    </xf>
    <xf numFmtId="9" fontId="5" fillId="0" borderId="0" xfId="774" applyNumberFormat="1">
      <alignment vertical="center"/>
    </xf>
    <xf numFmtId="168" fontId="5" fillId="0" borderId="0" xfId="774" applyNumberFormat="1">
      <alignment vertical="center"/>
    </xf>
    <xf numFmtId="0" fontId="13" fillId="0" borderId="0" xfId="15" applyFont="1">
      <alignment vertical="center"/>
    </xf>
    <xf numFmtId="0" fontId="13" fillId="0" borderId="0" xfId="15" applyFont="1" applyProtection="1">
      <alignment vertical="center"/>
      <protection locked="0"/>
    </xf>
    <xf numFmtId="167" fontId="0" fillId="0" borderId="0" xfId="24" applyNumberFormat="1" applyFont="1" applyFill="1" applyAlignment="1">
      <alignment vertical="center"/>
    </xf>
    <xf numFmtId="237" fontId="5" fillId="0" borderId="0" xfId="23" applyNumberFormat="1" applyFill="1" applyAlignment="1" applyProtection="1">
      <alignment vertical="center"/>
      <protection locked="0"/>
    </xf>
    <xf numFmtId="168" fontId="5" fillId="0" borderId="0" xfId="23" applyNumberFormat="1" applyFont="1" applyFill="1" applyAlignment="1" applyProtection="1">
      <alignment vertical="center"/>
      <protection locked="0"/>
    </xf>
    <xf numFmtId="0" fontId="125" fillId="0" borderId="0" xfId="18" applyFont="1" applyAlignment="1">
      <alignment vertical="center"/>
    </xf>
    <xf numFmtId="2" fontId="5" fillId="0" borderId="2" xfId="16" applyNumberFormat="1" applyAlignment="1">
      <alignment horizontal="right"/>
      <protection locked="0"/>
    </xf>
    <xf numFmtId="0" fontId="8" fillId="0" borderId="0" xfId="0" applyFont="1" applyFill="1" applyBorder="1" applyAlignment="1">
      <alignment horizontal="left" vertical="center"/>
    </xf>
    <xf numFmtId="164" fontId="13" fillId="0" borderId="0" xfId="774" applyNumberFormat="1" applyFont="1">
      <alignment vertical="center"/>
    </xf>
    <xf numFmtId="0" fontId="8" fillId="0" borderId="0" xfId="0" applyFont="1" applyFill="1" applyAlignment="1">
      <alignment vertical="center" wrapText="1"/>
    </xf>
    <xf numFmtId="0" fontId="0" fillId="0" borderId="0" xfId="0" applyFont="1" applyFill="1">
      <alignment vertical="center"/>
    </xf>
    <xf numFmtId="0" fontId="5" fillId="0" borderId="0" xfId="15" applyFill="1">
      <alignment vertical="center"/>
    </xf>
    <xf numFmtId="9" fontId="5" fillId="0" borderId="2" xfId="24" applyBorder="1" applyAlignment="1" applyProtection="1">
      <alignment vertical="center"/>
      <protection locked="0"/>
    </xf>
    <xf numFmtId="2" fontId="19" fillId="0" borderId="0" xfId="0" applyNumberFormat="1" applyFont="1" applyAlignment="1"/>
    <xf numFmtId="168" fontId="5" fillId="0" borderId="0" xfId="23" applyNumberFormat="1" applyAlignment="1">
      <alignment vertical="center"/>
    </xf>
    <xf numFmtId="10" fontId="5" fillId="0" borderId="0" xfId="24" applyNumberFormat="1" applyAlignment="1" applyProtection="1">
      <alignment vertical="center"/>
      <protection locked="0"/>
    </xf>
    <xf numFmtId="0" fontId="9" fillId="0" borderId="0" xfId="26" applyFill="1" applyBorder="1" applyAlignment="1">
      <alignment vertical="center" wrapText="1"/>
    </xf>
    <xf numFmtId="0" fontId="5" fillId="0" borderId="0" xfId="774" applyAlignment="1">
      <alignment vertical="center" wrapText="1"/>
    </xf>
    <xf numFmtId="0" fontId="5" fillId="0" borderId="0" xfId="774" applyFont="1" applyAlignment="1">
      <alignment vertical="center" wrapText="1"/>
    </xf>
    <xf numFmtId="168" fontId="9" fillId="0" borderId="0" xfId="23" applyNumberFormat="1" applyFont="1" applyFill="1" applyBorder="1" applyAlignment="1">
      <alignment vertical="center"/>
    </xf>
    <xf numFmtId="9" fontId="5" fillId="0" borderId="2" xfId="16" applyNumberFormat="1" applyAlignment="1">
      <alignment horizontal="right" vertical="center"/>
      <protection locked="0"/>
    </xf>
    <xf numFmtId="198" fontId="5" fillId="23" borderId="0" xfId="119" applyNumberFormat="1" applyFont="1" applyFill="1" applyBorder="1" applyAlignment="1">
      <alignment horizontal="right" vertical="center"/>
    </xf>
    <xf numFmtId="208" fontId="5" fillId="0" borderId="2" xfId="16" applyNumberFormat="1">
      <alignment vertical="center"/>
      <protection locked="0"/>
    </xf>
    <xf numFmtId="0" fontId="8" fillId="0" borderId="0" xfId="7" applyFont="1" applyFill="1">
      <alignment vertical="center"/>
    </xf>
    <xf numFmtId="0" fontId="0" fillId="0" borderId="0" xfId="7" applyFont="1" applyFill="1">
      <alignment vertical="center"/>
    </xf>
    <xf numFmtId="0" fontId="5" fillId="0" borderId="0" xfId="15" applyAlignment="1">
      <alignment horizontal="center" vertical="center"/>
    </xf>
    <xf numFmtId="208" fontId="23" fillId="0" borderId="0" xfId="0" applyNumberFormat="1" applyFont="1" applyAlignment="1">
      <alignment horizontal="center" vertical="center"/>
    </xf>
    <xf numFmtId="3" fontId="5" fillId="0" borderId="0" xfId="15" applyNumberFormat="1" applyProtection="1">
      <alignment vertical="center"/>
      <protection locked="0"/>
    </xf>
    <xf numFmtId="9" fontId="5" fillId="0" borderId="61" xfId="16" applyNumberFormat="1" applyBorder="1" applyAlignment="1">
      <alignment vertical="center"/>
      <protection locked="0"/>
    </xf>
    <xf numFmtId="167" fontId="5" fillId="0" borderId="0" xfId="16" applyNumberFormat="1" applyBorder="1" applyAlignment="1">
      <alignment vertical="center"/>
      <protection locked="0"/>
    </xf>
    <xf numFmtId="168" fontId="5" fillId="0" borderId="0" xfId="23" applyNumberFormat="1" applyFont="1" applyAlignment="1">
      <alignment vertical="center"/>
    </xf>
    <xf numFmtId="0" fontId="8" fillId="59" borderId="0" xfId="0" applyFont="1" applyFill="1" applyBorder="1" applyAlignment="1">
      <alignment horizontal="left" vertical="center"/>
    </xf>
    <xf numFmtId="0" fontId="24" fillId="59" borderId="0" xfId="0" applyFont="1" applyFill="1">
      <alignment vertical="center"/>
    </xf>
    <xf numFmtId="2" fontId="5" fillId="59" borderId="0" xfId="16" applyNumberFormat="1" applyFill="1" applyBorder="1">
      <alignment vertical="center"/>
      <protection locked="0"/>
    </xf>
    <xf numFmtId="0" fontId="8" fillId="59" borderId="0" xfId="0" applyFont="1" applyFill="1">
      <alignment vertical="center"/>
    </xf>
    <xf numFmtId="0" fontId="8" fillId="58" borderId="0" xfId="0" applyFont="1" applyFill="1" applyBorder="1" applyAlignment="1">
      <alignment horizontal="left" vertical="center"/>
    </xf>
    <xf numFmtId="0" fontId="24" fillId="58" borderId="0" xfId="0" applyFont="1" applyFill="1">
      <alignment vertical="center"/>
    </xf>
    <xf numFmtId="2" fontId="5" fillId="58" borderId="0" xfId="16" applyNumberFormat="1" applyFill="1" applyBorder="1">
      <alignment vertical="center"/>
      <protection locked="0"/>
    </xf>
    <xf numFmtId="0" fontId="8" fillId="58" borderId="0" xfId="0" applyFont="1" applyFill="1">
      <alignment vertical="center"/>
    </xf>
    <xf numFmtId="0" fontId="8" fillId="60" borderId="0" xfId="0" applyFont="1" applyFill="1" applyBorder="1" applyAlignment="1">
      <alignment horizontal="left" vertical="center"/>
    </xf>
    <xf numFmtId="0" fontId="24" fillId="60" borderId="0" xfId="0" applyFont="1" applyFill="1">
      <alignment vertical="center"/>
    </xf>
    <xf numFmtId="2" fontId="5" fillId="60" borderId="0" xfId="16" applyNumberFormat="1" applyFill="1" applyBorder="1">
      <alignment vertical="center"/>
      <protection locked="0"/>
    </xf>
    <xf numFmtId="0" fontId="8" fillId="60" borderId="0" xfId="0" applyFont="1" applyFill="1">
      <alignment vertical="center"/>
    </xf>
    <xf numFmtId="0" fontId="17" fillId="0" borderId="0" xfId="13" applyAlignment="1">
      <alignment horizontal="center" vertical="center"/>
    </xf>
    <xf numFmtId="3" fontId="5" fillId="0" borderId="2" xfId="16" applyNumberFormat="1">
      <alignment vertical="center"/>
      <protection locked="0"/>
    </xf>
    <xf numFmtId="238" fontId="5" fillId="0" borderId="2" xfId="16" applyNumberFormat="1">
      <alignment vertical="center"/>
      <protection locked="0"/>
    </xf>
    <xf numFmtId="43" fontId="5" fillId="0" borderId="2" xfId="16" applyNumberFormat="1" applyAlignment="1">
      <alignment vertical="center"/>
      <protection locked="0"/>
    </xf>
    <xf numFmtId="0" fontId="8" fillId="0" borderId="1" xfId="17" applyFont="1">
      <alignment vertical="center"/>
      <protection locked="0"/>
    </xf>
    <xf numFmtId="2" fontId="5" fillId="0" borderId="1" xfId="17" applyNumberFormat="1">
      <alignment vertical="center"/>
      <protection locked="0"/>
    </xf>
    <xf numFmtId="208" fontId="5" fillId="0" borderId="63" xfId="16" applyNumberFormat="1" applyBorder="1">
      <alignment vertical="center"/>
      <protection locked="0"/>
    </xf>
    <xf numFmtId="198" fontId="5" fillId="23" borderId="62" xfId="119" applyNumberFormat="1" applyFont="1" applyFill="1" applyBorder="1" applyAlignment="1">
      <alignment horizontal="right" vertical="center"/>
    </xf>
    <xf numFmtId="43" fontId="5" fillId="0" borderId="0" xfId="15" applyNumberFormat="1">
      <alignment vertical="center"/>
    </xf>
    <xf numFmtId="239" fontId="0" fillId="0" borderId="0" xfId="0" applyNumberFormat="1">
      <alignment vertical="center"/>
    </xf>
    <xf numFmtId="240" fontId="0" fillId="0" borderId="0" xfId="0" applyNumberForma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6" applyFill="1" applyAlignment="1">
      <alignment horizontal="center" vertical="center" wrapText="1"/>
    </xf>
    <xf numFmtId="0" fontId="8" fillId="0" borderId="0" xfId="6" applyFill="1" applyAlignment="1">
      <alignment horizontal="center" vertical="center"/>
    </xf>
    <xf numFmtId="164" fontId="5" fillId="4" borderId="0" xfId="19" applyNumberFormat="1" applyBorder="1" applyProtection="1">
      <alignment vertical="center"/>
      <protection locked="0"/>
    </xf>
    <xf numFmtId="0" fontId="8" fillId="41" borderId="0" xfId="6" applyFill="1" applyAlignment="1">
      <alignment horizontal="center" vertical="center"/>
    </xf>
    <xf numFmtId="0" fontId="0" fillId="0" borderId="0" xfId="0" applyFont="1" applyAlignment="1">
      <alignment horizontal="left" vertical="center" wrapText="1" indent="1"/>
    </xf>
    <xf numFmtId="49" fontId="0" fillId="0" borderId="0" xfId="0" applyNumberFormat="1" applyAlignment="1">
      <alignment vertical="center"/>
    </xf>
    <xf numFmtId="0" fontId="0" fillId="0" borderId="0" xfId="774" applyFont="1" applyAlignment="1">
      <alignment horizontal="left" vertical="center" indent="1"/>
    </xf>
    <xf numFmtId="168" fontId="8" fillId="0" borderId="0" xfId="23" applyNumberFormat="1" applyFont="1" applyFill="1" applyAlignment="1">
      <alignment horizontal="center" vertical="center"/>
    </xf>
    <xf numFmtId="0" fontId="5" fillId="0" borderId="0" xfId="6" applyFont="1" applyFill="1" applyAlignment="1">
      <alignment horizontal="center" vertical="center"/>
    </xf>
    <xf numFmtId="43" fontId="5" fillId="0" borderId="0" xfId="6" applyNumberFormat="1" applyFont="1" applyFill="1" applyAlignment="1">
      <alignment horizontal="center" vertical="center"/>
    </xf>
    <xf numFmtId="10" fontId="5" fillId="0" borderId="0" xfId="6" applyNumberFormat="1" applyFont="1" applyFill="1" applyAlignment="1">
      <alignment horizontal="center" vertical="center"/>
    </xf>
    <xf numFmtId="168" fontId="5" fillId="0" borderId="0" xfId="6" applyNumberFormat="1" applyFont="1" applyFill="1" applyAlignment="1">
      <alignment horizontal="center" vertical="center"/>
    </xf>
    <xf numFmtId="0" fontId="5" fillId="0" borderId="0" xfId="6" applyNumberFormat="1" applyFont="1" applyFill="1" applyAlignment="1">
      <alignment horizontal="center" vertical="center"/>
    </xf>
    <xf numFmtId="0" fontId="8" fillId="0" borderId="0" xfId="6" applyFill="1" applyAlignment="1">
      <alignment horizontal="left" vertical="center" indent="1"/>
    </xf>
    <xf numFmtId="9" fontId="5" fillId="0" borderId="0" xfId="24" applyBorder="1" applyAlignment="1" applyProtection="1">
      <alignment vertical="center"/>
      <protection locked="0"/>
    </xf>
    <xf numFmtId="9" fontId="5" fillId="4" borderId="0" xfId="24" applyFill="1" applyAlignment="1" applyProtection="1">
      <alignment vertical="center"/>
      <protection locked="0"/>
    </xf>
    <xf numFmtId="0" fontId="0" fillId="0" borderId="0" xfId="15" applyFont="1" applyAlignment="1">
      <alignment horizontal="left" vertical="center" indent="1"/>
    </xf>
    <xf numFmtId="3" fontId="5" fillId="0" borderId="0" xfId="774" applyNumberFormat="1">
      <alignment vertical="center"/>
    </xf>
    <xf numFmtId="167" fontId="5" fillId="0" borderId="0" xfId="774" applyNumberFormat="1">
      <alignment vertical="center"/>
    </xf>
    <xf numFmtId="0" fontId="5" fillId="0" borderId="0" xfId="774" applyAlignment="1">
      <alignment horizontal="left" vertical="center" indent="1"/>
    </xf>
    <xf numFmtId="0" fontId="0" fillId="0" borderId="0" xfId="774" applyFont="1" applyAlignment="1">
      <alignment horizontal="left" vertical="center"/>
    </xf>
    <xf numFmtId="0" fontId="0" fillId="0" borderId="0" xfId="0" applyFont="1" applyAlignment="1">
      <alignment vertical="center"/>
    </xf>
    <xf numFmtId="9" fontId="5" fillId="0" borderId="0" xfId="24" applyNumberFormat="1" applyAlignment="1" applyProtection="1">
      <alignment vertical="center"/>
      <protection locked="0"/>
    </xf>
    <xf numFmtId="0" fontId="0" fillId="0" borderId="0" xfId="0" applyFont="1" applyAlignment="1">
      <alignment vertical="center" wrapText="1"/>
    </xf>
    <xf numFmtId="0" fontId="0" fillId="0" borderId="0" xfId="0" applyFont="1" applyAlignment="1">
      <alignment vertical="center"/>
    </xf>
    <xf numFmtId="0" fontId="0" fillId="0" borderId="0" xfId="25" applyFont="1" applyFill="1" applyAlignment="1">
      <alignment horizontal="left" indent="1"/>
    </xf>
    <xf numFmtId="0" fontId="5" fillId="0" borderId="0" xfId="774" applyFont="1" applyAlignment="1">
      <alignment horizontal="left" vertical="center" indent="1"/>
    </xf>
  </cellXfs>
  <cellStyles count="1086">
    <cellStyle name=" _x0007_LÓ_x0018_ÄþÍN^NuNVþˆHÁ_x0001__x0018_(n" xfId="775"/>
    <cellStyle name="%" xfId="28"/>
    <cellStyle name="% 2" xfId="29"/>
    <cellStyle name="_04 12 10 0506 Budget Plan Pack - Director Sign off Version1" xfId="776"/>
    <cellStyle name="_04 12 15 - 0506 Budget Plan Pack - Director Sign off Version 5.01" xfId="777"/>
    <cellStyle name="_05 02 08 - 0506 Budget Plan v14.3" xfId="778"/>
    <cellStyle name="_115065" xfId="779"/>
    <cellStyle name="_21C_BUDGET_POSITION_05063" xfId="780"/>
    <cellStyle name="_Absolute latest PL 05_06 with actual 04_05 outurn" xfId="781"/>
    <cellStyle name="_AFI22 PPC 0708 NCC to GL 011008" xfId="782"/>
    <cellStyle name="_Book3" xfId="783"/>
    <cellStyle name="_Capex1" xfId="784"/>
    <cellStyle name="_Copy of PPC_Workings0708 P12 200608" xfId="785"/>
    <cellStyle name="_Core conv high level replan Nov05 v6 0" xfId="786"/>
    <cellStyle name="_development prioritisation v2.11" xfId="787"/>
    <cellStyle name="_Ext PPC - Runs to GL (2)" xfId="788"/>
    <cellStyle name="_NCCImpactAnalysis7fxhv010908" xfId="789"/>
    <cellStyle name="_OpexSavings" xfId="790"/>
    <cellStyle name="_P07 BTW Schedule from RTU_revised2" xfId="791"/>
    <cellStyle name="_p1 mapping" xfId="792"/>
    <cellStyle name="_PPC 0506 v1.10" xfId="793"/>
    <cellStyle name="_PPC Carrier Price List Summary07-08-110308v1" xfId="794"/>
    <cellStyle name="_PPC Carrier Price List Summary240108v1" xfId="795"/>
    <cellStyle name="_PPC External NCC vs GL Plus OSP detail020708" xfId="796"/>
    <cellStyle name="_PPC Price Database030108" xfId="797"/>
    <cellStyle name="_PPC_Workings Internals 0607 P12 070808" xfId="798"/>
    <cellStyle name="_PPC_Workings0708 P12 200608 - Protected path" xfId="799"/>
    <cellStyle name="_PPC200607Revenuereconciliation" xfId="800"/>
    <cellStyle name="_PPC200607Revenuereconciliation020708" xfId="801"/>
    <cellStyle name="_PPC200607Revenuereconciliation050308" xfId="802"/>
    <cellStyle name="_PPC200708Revenuereconciliation040708" xfId="803"/>
    <cellStyle name="_PPC200708Revenuereconciliation160508" xfId="804"/>
    <cellStyle name="_PPCRevenueYearOnYear180808" xfId="805"/>
    <cellStyle name="_Priority Matrix 090105vr v2" xfId="806"/>
    <cellStyle name="_Prirotised capex v7 DB" xfId="807"/>
    <cellStyle name="_QPB EBITDA 06_07 - 08_09 master 9 January" xfId="808"/>
    <cellStyle name="_QPB EBITDA 06_07 - 08_09 v1" xfId="809"/>
    <cellStyle name="_RBS200809RevenueReconciliation080708" xfId="810"/>
    <cellStyle name="_ROI MD Data Prioritisation 170205" xfId="811"/>
    <cellStyle name="_Summary Info" xfId="812"/>
    <cellStyle name="_Template_04005&amp;0506 Restatement 240908v2" xfId="813"/>
    <cellStyle name="_Template_0607 PPC restatement 010708v3NL" xfId="814"/>
    <cellStyle name="_Template_0607 Restatement 150808v9" xfId="815"/>
    <cellStyle name="_WHS P x V P07 v1" xfId="816"/>
    <cellStyle name="=C:\WINNT\SYSTEM32\COMMAND.COM" xfId="817"/>
    <cellStyle name="0,0_x000a__x000a_NA_x000a__x000a_" xfId="818"/>
    <cellStyle name="0,0_x000d__x000a_NA_x000d__x000a_" xfId="819"/>
    <cellStyle name="1. Calculation" xfId="1062"/>
    <cellStyle name="1. Calculation 2" xfId="1063"/>
    <cellStyle name="15.2" xfId="820"/>
    <cellStyle name="2. Parameter" xfId="1064"/>
    <cellStyle name="20% - Accent1 2" xfId="821"/>
    <cellStyle name="20% - Accent1 3" xfId="822"/>
    <cellStyle name="20% - Accent1 4" xfId="823"/>
    <cellStyle name="20% - Accent1 5" xfId="824"/>
    <cellStyle name="20% - Accent2 2" xfId="825"/>
    <cellStyle name="20% - Accent2 3" xfId="826"/>
    <cellStyle name="20% - Accent2 4" xfId="827"/>
    <cellStyle name="20% - Accent2 5" xfId="828"/>
    <cellStyle name="20% - Accent3 2" xfId="829"/>
    <cellStyle name="20% - Accent3 3" xfId="830"/>
    <cellStyle name="20% - Accent3 4" xfId="831"/>
    <cellStyle name="20% - Accent3 5" xfId="832"/>
    <cellStyle name="20% - Accent4 2" xfId="833"/>
    <cellStyle name="20% - Accent4 3" xfId="834"/>
    <cellStyle name="20% - Accent4 4" xfId="835"/>
    <cellStyle name="20% - Accent4 5" xfId="836"/>
    <cellStyle name="20% - Accent5 2" xfId="837"/>
    <cellStyle name="20% - Accent5 3" xfId="838"/>
    <cellStyle name="20% - Accent5 4" xfId="839"/>
    <cellStyle name="20% - Accent5 5" xfId="840"/>
    <cellStyle name="20% - Accent6 2" xfId="841"/>
    <cellStyle name="20% - Accent6 3" xfId="842"/>
    <cellStyle name="20% - Accent6 4" xfId="843"/>
    <cellStyle name="20% - Accent6 5" xfId="844"/>
    <cellStyle name="3. Input Data" xfId="1065"/>
    <cellStyle name="3. Input Data 2" xfId="1066"/>
    <cellStyle name="3a. Calculated Input" xfId="1067"/>
    <cellStyle name="4. Estimate" xfId="1068"/>
    <cellStyle name="4. Estimate 2" xfId="1069"/>
    <cellStyle name="40% - Accent1 2" xfId="845"/>
    <cellStyle name="40% - Accent1 3" xfId="846"/>
    <cellStyle name="40% - Accent1 4" xfId="847"/>
    <cellStyle name="40% - Accent1 5" xfId="848"/>
    <cellStyle name="40% - Accent1 6" xfId="849"/>
    <cellStyle name="40% - Accent2 2" xfId="850"/>
    <cellStyle name="40% - Accent2 3" xfId="851"/>
    <cellStyle name="40% - Accent2 4" xfId="852"/>
    <cellStyle name="40% - Accent2 5" xfId="853"/>
    <cellStyle name="40% - Accent3 2" xfId="854"/>
    <cellStyle name="40% - Accent3 3" xfId="855"/>
    <cellStyle name="40% - Accent3 4" xfId="856"/>
    <cellStyle name="40% - Accent3 5" xfId="857"/>
    <cellStyle name="40% - Accent4 2" xfId="858"/>
    <cellStyle name="40% - Accent4 3" xfId="859"/>
    <cellStyle name="40% - Accent4 4" xfId="860"/>
    <cellStyle name="40% - Accent4 5" xfId="861"/>
    <cellStyle name="40% - Accent5 2" xfId="862"/>
    <cellStyle name="40% - Accent5 3" xfId="863"/>
    <cellStyle name="40% - Accent5 4" xfId="864"/>
    <cellStyle name="40% - Accent5 5" xfId="865"/>
    <cellStyle name="40% - Accent6 2" xfId="866"/>
    <cellStyle name="40% - Accent6 3" xfId="867"/>
    <cellStyle name="40% - Accent6 4" xfId="868"/>
    <cellStyle name="40% - Accent6 5" xfId="869"/>
    <cellStyle name="5. Direct Link" xfId="1070"/>
    <cellStyle name="5. Linked Input" xfId="1071"/>
    <cellStyle name="5a. WB Input" xfId="1072"/>
    <cellStyle name="6. Output" xfId="1073"/>
    <cellStyle name="7. Note" xfId="1074"/>
    <cellStyle name="8. Logic" xfId="1075"/>
    <cellStyle name="9. Blank" xfId="1076"/>
    <cellStyle name="ÅëÈ­ [0]_laroux" xfId="870"/>
    <cellStyle name="ÅëÈ­_laroux" xfId="871"/>
    <cellStyle name="Assumption" xfId="30"/>
    <cellStyle name="Assumption 2" xfId="31"/>
    <cellStyle name="Assumption 3" xfId="32"/>
    <cellStyle name="Assumption 4" xfId="33"/>
    <cellStyle name="Assumption 5" xfId="34"/>
    <cellStyle name="Assumption 6" xfId="35"/>
    <cellStyle name="Assumption 7" xfId="36"/>
    <cellStyle name="ÄÞ¸¶ [0]_laroux" xfId="872"/>
    <cellStyle name="ÄÞ¸¶_laroux" xfId="873"/>
    <cellStyle name="BlankZero" xfId="874"/>
    <cellStyle name="Body" xfId="875"/>
    <cellStyle name="Ç¥ÁØ_ÀÎÀç°³¹ß¿ø" xfId="876"/>
    <cellStyle name="Calc" xfId="877"/>
    <cellStyle name="Calc - Blue" xfId="878"/>
    <cellStyle name="Calc - Feed" xfId="879"/>
    <cellStyle name="Calc - Green" xfId="880"/>
    <cellStyle name="Calc - Grey" xfId="881"/>
    <cellStyle name="Calc - Light" xfId="882"/>
    <cellStyle name="Calc - Light White" xfId="883"/>
    <cellStyle name="Calc - White" xfId="884"/>
    <cellStyle name="Calc - White Light" xfId="885"/>
    <cellStyle name="Calc - White_AOP Budget Bible 211105 v1" xfId="886"/>
    <cellStyle name="Calc Currency (0)" xfId="887"/>
    <cellStyle name="Calc White" xfId="888"/>
    <cellStyle name="Calc_%" xfId="889"/>
    <cellStyle name="Calc-Col total" xfId="37"/>
    <cellStyle name="Calculation" xfId="1" builtinId="22" customBuiltin="1"/>
    <cellStyle name="Calculation - Info only" xfId="38"/>
    <cellStyle name="Calculation - Row total" xfId="39"/>
    <cellStyle name="Calculation - Row total 2" xfId="890"/>
    <cellStyle name="Calculation 10" xfId="40"/>
    <cellStyle name="Calculation 11" xfId="41"/>
    <cellStyle name="Calculation 12" xfId="42"/>
    <cellStyle name="Calculation 13" xfId="43"/>
    <cellStyle name="Calculation 14" xfId="44"/>
    <cellStyle name="Calculation 15" xfId="45"/>
    <cellStyle name="Calculation 16" xfId="46"/>
    <cellStyle name="Calculation 2" xfId="47"/>
    <cellStyle name="Calculation 2 10" xfId="48"/>
    <cellStyle name="Calculation 2 11" xfId="49"/>
    <cellStyle name="Calculation 2 12" xfId="50"/>
    <cellStyle name="Calculation 2 13" xfId="51"/>
    <cellStyle name="Calculation 2 2" xfId="52"/>
    <cellStyle name="Calculation 2 3" xfId="53"/>
    <cellStyle name="Calculation 2 4" xfId="54"/>
    <cellStyle name="Calculation 2 5" xfId="55"/>
    <cellStyle name="Calculation 2 6" xfId="56"/>
    <cellStyle name="Calculation 2 7" xfId="57"/>
    <cellStyle name="Calculation 2 8" xfId="58"/>
    <cellStyle name="Calculation 2 9" xfId="59"/>
    <cellStyle name="Calculation 3" xfId="60"/>
    <cellStyle name="Calculation 3 10" xfId="61"/>
    <cellStyle name="Calculation 3 11" xfId="62"/>
    <cellStyle name="Calculation 3 12" xfId="63"/>
    <cellStyle name="Calculation 3 13" xfId="64"/>
    <cellStyle name="Calculation 3 2" xfId="65"/>
    <cellStyle name="Calculation 3 3" xfId="66"/>
    <cellStyle name="Calculation 3 4" xfId="67"/>
    <cellStyle name="Calculation 3 5" xfId="68"/>
    <cellStyle name="Calculation 3 6" xfId="69"/>
    <cellStyle name="Calculation 3 7" xfId="70"/>
    <cellStyle name="Calculation 3 8" xfId="71"/>
    <cellStyle name="Calculation 3 9" xfId="72"/>
    <cellStyle name="Calculation 4" xfId="73"/>
    <cellStyle name="Calculation 4 10" xfId="74"/>
    <cellStyle name="Calculation 4 11" xfId="75"/>
    <cellStyle name="Calculation 4 12" xfId="76"/>
    <cellStyle name="Calculation 4 13" xfId="77"/>
    <cellStyle name="Calculation 4 2" xfId="78"/>
    <cellStyle name="Calculation 4 3" xfId="79"/>
    <cellStyle name="Calculation 4 4" xfId="80"/>
    <cellStyle name="Calculation 4 5" xfId="81"/>
    <cellStyle name="Calculation 4 6" xfId="82"/>
    <cellStyle name="Calculation 4 7" xfId="83"/>
    <cellStyle name="Calculation 4 8" xfId="84"/>
    <cellStyle name="Calculation 4 9" xfId="85"/>
    <cellStyle name="Calculation 5" xfId="86"/>
    <cellStyle name="Calculation 6" xfId="87"/>
    <cellStyle name="Calculation 7" xfId="88"/>
    <cellStyle name="Calculation 8" xfId="89"/>
    <cellStyle name="Calculation 9" xfId="90"/>
    <cellStyle name="Calculation1" xfId="91"/>
    <cellStyle name="Check" xfId="891"/>
    <cellStyle name="Checksum" xfId="2"/>
    <cellStyle name="Checksum 2" xfId="1077"/>
    <cellStyle name="Clear" xfId="892"/>
    <cellStyle name="Column Heading" xfId="92"/>
    <cellStyle name="Column Heading (No Wrap)" xfId="93"/>
    <cellStyle name="Column Heading (No Wrap) 2" xfId="94"/>
    <cellStyle name="Column Heading (No Wrap) 3" xfId="95"/>
    <cellStyle name="Column Heading (No Wrap) 4" xfId="96"/>
    <cellStyle name="Column Heading (No Wrap) 5" xfId="97"/>
    <cellStyle name="Column Heading (No Wrap) 6" xfId="98"/>
    <cellStyle name="Column Heading (No Wrap) 7" xfId="99"/>
    <cellStyle name="Column Heading 2" xfId="100"/>
    <cellStyle name="Column Heading 3" xfId="101"/>
    <cellStyle name="Column Heading 4" xfId="102"/>
    <cellStyle name="Column Heading 5" xfId="103"/>
    <cellStyle name="Column Heading 6" xfId="104"/>
    <cellStyle name="Column Heading 7" xfId="105"/>
    <cellStyle name="Column label" xfId="106"/>
    <cellStyle name="Column label (left aligned)" xfId="107"/>
    <cellStyle name="Column label (no wrap)" xfId="108"/>
    <cellStyle name="Column label (not bold)" xfId="109"/>
    <cellStyle name="Column Total" xfId="110"/>
    <cellStyle name="Column Total 2" xfId="111"/>
    <cellStyle name="Column Total 3" xfId="112"/>
    <cellStyle name="Column Total 4" xfId="113"/>
    <cellStyle name="Column Total 5" xfId="114"/>
    <cellStyle name="Column Total 6" xfId="115"/>
    <cellStyle name="Column Total 7" xfId="116"/>
    <cellStyle name="ColumnLabel" xfId="769"/>
    <cellStyle name="Comma" xfId="23" builtinId="3"/>
    <cellStyle name="Comma  - Style1" xfId="893"/>
    <cellStyle name="Comma  - Style2" xfId="894"/>
    <cellStyle name="Comma  - Style3" xfId="895"/>
    <cellStyle name="Comma  - Style4" xfId="896"/>
    <cellStyle name="Comma  - Style5" xfId="897"/>
    <cellStyle name="Comma  - Style6" xfId="898"/>
    <cellStyle name="Comma  - Style7" xfId="899"/>
    <cellStyle name="Comma  - Style8" xfId="900"/>
    <cellStyle name="Comma [1]" xfId="117"/>
    <cellStyle name="Comma [1] 2" xfId="901"/>
    <cellStyle name="Comma [2]" xfId="118"/>
    <cellStyle name="Comma 10" xfId="119"/>
    <cellStyle name="Comma 11" xfId="120"/>
    <cellStyle name="Comma 12" xfId="121"/>
    <cellStyle name="Comma 13" xfId="122"/>
    <cellStyle name="Comma 14" xfId="123"/>
    <cellStyle name="Comma 15" xfId="124"/>
    <cellStyle name="Comma 16" xfId="125"/>
    <cellStyle name="Comma 16 2" xfId="902"/>
    <cellStyle name="Comma 17" xfId="1085"/>
    <cellStyle name="Comma 2" xfId="126"/>
    <cellStyle name="Comma 2 2" xfId="127"/>
    <cellStyle name="Comma 2 2 2" xfId="128"/>
    <cellStyle name="Comma 2 3" xfId="129"/>
    <cellStyle name="Comma 2 4" xfId="903"/>
    <cellStyle name="Comma 2 5" xfId="904"/>
    <cellStyle name="Comma 3" xfId="130"/>
    <cellStyle name="Comma 3 2" xfId="131"/>
    <cellStyle name="Comma 4" xfId="132"/>
    <cellStyle name="Comma 4 2" xfId="133"/>
    <cellStyle name="Comma 5" xfId="134"/>
    <cellStyle name="Comma 5 2" xfId="135"/>
    <cellStyle name="Comma 6" xfId="136"/>
    <cellStyle name="Comma 6 2" xfId="137"/>
    <cellStyle name="Comma 7" xfId="138"/>
    <cellStyle name="Comma 8" xfId="139"/>
    <cellStyle name="Comma 9" xfId="140"/>
    <cellStyle name="Comma2 [0]" xfId="905"/>
    <cellStyle name="CommaRounded" xfId="906"/>
    <cellStyle name="Copied" xfId="907"/>
    <cellStyle name="CopyrightRow" xfId="772"/>
    <cellStyle name="Currency - Euro" xfId="141"/>
    <cellStyle name="Currency - Euro 2" xfId="908"/>
    <cellStyle name="Currency (0dp)" xfId="142"/>
    <cellStyle name="Currency (2dp)" xfId="143"/>
    <cellStyle name="Currency [0] - Euro" xfId="144"/>
    <cellStyle name="Currency 2" xfId="145"/>
    <cellStyle name="Currency 2 2" xfId="909"/>
    <cellStyle name="Currency 3" xfId="146"/>
    <cellStyle name="Currency 4" xfId="147"/>
    <cellStyle name="Currency 5" xfId="148"/>
    <cellStyle name="Currency Dollar" xfId="149"/>
    <cellStyle name="Currency Dollar (2dp)" xfId="150"/>
    <cellStyle name="Currency EUR" xfId="151"/>
    <cellStyle name="Currency EUR (2dp)" xfId="152"/>
    <cellStyle name="Currency Euro" xfId="153"/>
    <cellStyle name="Currency Euro (2dp)" xfId="154"/>
    <cellStyle name="Currency GBP" xfId="155"/>
    <cellStyle name="Currency GBP (2dp)" xfId="156"/>
    <cellStyle name="Currency Pound" xfId="157"/>
    <cellStyle name="Currency Pound (2dp)" xfId="158"/>
    <cellStyle name="Currency USD" xfId="159"/>
    <cellStyle name="Currency USD (2dp)" xfId="160"/>
    <cellStyle name="Currency-$" xfId="910"/>
    <cellStyle name="Currency-£" xfId="911"/>
    <cellStyle name="Currency-F" xfId="912"/>
    <cellStyle name="Data Input" xfId="913"/>
    <cellStyle name="Data Section Heading" xfId="914"/>
    <cellStyle name="DATA_Amount" xfId="915"/>
    <cellStyle name="Date" xfId="161"/>
    <cellStyle name="Date (Month)" xfId="162"/>
    <cellStyle name="Date (Year)" xfId="163"/>
    <cellStyle name="Date 10" xfId="164"/>
    <cellStyle name="Date 11" xfId="165"/>
    <cellStyle name="Date 12" xfId="166"/>
    <cellStyle name="Date 13" xfId="167"/>
    <cellStyle name="Date 14" xfId="168"/>
    <cellStyle name="Date 15" xfId="169"/>
    <cellStyle name="Date 16" xfId="170"/>
    <cellStyle name="Date 17" xfId="171"/>
    <cellStyle name="Date 18" xfId="172"/>
    <cellStyle name="Date 19" xfId="173"/>
    <cellStyle name="Date 2" xfId="174"/>
    <cellStyle name="Date 20" xfId="175"/>
    <cellStyle name="Date 21" xfId="176"/>
    <cellStyle name="Date 22" xfId="177"/>
    <cellStyle name="Date 23" xfId="178"/>
    <cellStyle name="Date 24" xfId="179"/>
    <cellStyle name="Date 25" xfId="180"/>
    <cellStyle name="Date 26" xfId="181"/>
    <cellStyle name="Date 27" xfId="182"/>
    <cellStyle name="Date 28" xfId="183"/>
    <cellStyle name="Date 29" xfId="184"/>
    <cellStyle name="Date 3" xfId="185"/>
    <cellStyle name="Date 30" xfId="186"/>
    <cellStyle name="Date 31" xfId="187"/>
    <cellStyle name="Date 32" xfId="188"/>
    <cellStyle name="Date 33" xfId="189"/>
    <cellStyle name="Date 34" xfId="190"/>
    <cellStyle name="Date 4" xfId="191"/>
    <cellStyle name="Date 5" xfId="192"/>
    <cellStyle name="Date 6" xfId="193"/>
    <cellStyle name="Date 7" xfId="194"/>
    <cellStyle name="Date 8" xfId="195"/>
    <cellStyle name="Date 9" xfId="196"/>
    <cellStyle name="Date_200809Provisions and Other Adjustments P6 200809" xfId="916"/>
    <cellStyle name="Delta" xfId="917"/>
    <cellStyle name="Delta%" xfId="918"/>
    <cellStyle name="Dezimal [0]_corporate" xfId="919"/>
    <cellStyle name="Dezimal_corporate" xfId="920"/>
    <cellStyle name="Entered" xfId="921"/>
    <cellStyle name="entry box" xfId="922"/>
    <cellStyle name="Euro" xfId="923"/>
    <cellStyle name="Exception" xfId="924"/>
    <cellStyle name="Exception - Light" xfId="925"/>
    <cellStyle name="Exception_AOP Budget Bible 211105 v1" xfId="926"/>
    <cellStyle name="External data" xfId="197"/>
    <cellStyle name="External data 2" xfId="198"/>
    <cellStyle name="External label" xfId="199"/>
    <cellStyle name="External label 2" xfId="200"/>
    <cellStyle name="EY House" xfId="927"/>
    <cellStyle name="EYCalc" xfId="928"/>
    <cellStyle name="EYCallUp" xfId="929"/>
    <cellStyle name="Feeder Field" xfId="930"/>
    <cellStyle name="Feeder Field - Light" xfId="931"/>
    <cellStyle name="Feeder Field Light" xfId="932"/>
    <cellStyle name="Feeder Field_AOP Budget Bible 211105 v1" xfId="933"/>
    <cellStyle name="font" xfId="934"/>
    <cellStyle name="General" xfId="201"/>
    <cellStyle name="General No - Black" xfId="935"/>
    <cellStyle name="General No (Black)" xfId="936"/>
    <cellStyle name="General No (Red)" xfId="937"/>
    <cellStyle name="Grand Total" xfId="938"/>
    <cellStyle name="Grey" xfId="939"/>
    <cellStyle name="Greyed out" xfId="940"/>
    <cellStyle name="Greyed out - Light" xfId="941"/>
    <cellStyle name="Greyed out_AOP Budget Bible 211105 v1" xfId="942"/>
    <cellStyle name="H0" xfId="26"/>
    <cellStyle name="H1" xfId="3"/>
    <cellStyle name="H1 height" xfId="943"/>
    <cellStyle name="H2" xfId="4"/>
    <cellStyle name="H3" xfId="5"/>
    <cellStyle name="H4" xfId="6"/>
    <cellStyle name="Header1" xfId="944"/>
    <cellStyle name="Header2" xfId="945"/>
    <cellStyle name="Heading 1 2" xfId="202"/>
    <cellStyle name="Heading 1 2 2" xfId="1081"/>
    <cellStyle name="Heading 1 Height" xfId="203"/>
    <cellStyle name="Heading 2 2" xfId="1078"/>
    <cellStyle name="Heading 3 2" xfId="204"/>
    <cellStyle name="Heading 4 2" xfId="205"/>
    <cellStyle name="Heading 5" xfId="206"/>
    <cellStyle name="Heading 5 2" xfId="946"/>
    <cellStyle name="Heading.2" xfId="947"/>
    <cellStyle name="Heading.3" xfId="948"/>
    <cellStyle name="Heading.4" xfId="949"/>
    <cellStyle name="Headline1" xfId="950"/>
    <cellStyle name="Headline3" xfId="951"/>
    <cellStyle name="Highlight" xfId="7"/>
    <cellStyle name="Highlight 10" xfId="207"/>
    <cellStyle name="Highlight 11" xfId="208"/>
    <cellStyle name="Highlight 12" xfId="209"/>
    <cellStyle name="Highlight 13" xfId="210"/>
    <cellStyle name="Highlight 14" xfId="211"/>
    <cellStyle name="Highlight 15" xfId="212"/>
    <cellStyle name="Highlight 16" xfId="213"/>
    <cellStyle name="Highlight 17" xfId="214"/>
    <cellStyle name="Highlight 18" xfId="215"/>
    <cellStyle name="Highlight 19" xfId="216"/>
    <cellStyle name="Highlight 2" xfId="217"/>
    <cellStyle name="Highlight 20" xfId="218"/>
    <cellStyle name="Highlight 21" xfId="219"/>
    <cellStyle name="Highlight 22" xfId="220"/>
    <cellStyle name="Highlight 23" xfId="221"/>
    <cellStyle name="Highlight 24" xfId="222"/>
    <cellStyle name="Highlight 25" xfId="223"/>
    <cellStyle name="Highlight 26" xfId="224"/>
    <cellStyle name="Highlight 27" xfId="225"/>
    <cellStyle name="Highlight 28" xfId="226"/>
    <cellStyle name="Highlight 29" xfId="227"/>
    <cellStyle name="Highlight 3" xfId="228"/>
    <cellStyle name="Highlight 30" xfId="229"/>
    <cellStyle name="Highlight 31" xfId="230"/>
    <cellStyle name="Highlight 32" xfId="231"/>
    <cellStyle name="Highlight 33" xfId="232"/>
    <cellStyle name="Highlight 34" xfId="233"/>
    <cellStyle name="Highlight 4" xfId="234"/>
    <cellStyle name="Highlight 5" xfId="235"/>
    <cellStyle name="Highlight 6" xfId="236"/>
    <cellStyle name="Highlight 7" xfId="237"/>
    <cellStyle name="Highlight 8" xfId="238"/>
    <cellStyle name="Highlight 9" xfId="239"/>
    <cellStyle name="Highlight_Data_annex_for_Analysys_Mason_RRxxx" xfId="240"/>
    <cellStyle name="hours" xfId="952"/>
    <cellStyle name="Hyperlink" xfId="773" builtinId="8"/>
    <cellStyle name="Hyperlink 2" xfId="241"/>
    <cellStyle name="Hyperlink 3" xfId="242"/>
    <cellStyle name="Hyperlink 4" xfId="953"/>
    <cellStyle name="Input [yellow]" xfId="954"/>
    <cellStyle name="Input 1" xfId="955"/>
    <cellStyle name="Input 1 - Light" xfId="956"/>
    <cellStyle name="Input 1_AOP Budget Bible 211105 v1" xfId="957"/>
    <cellStyle name="Input 10" xfId="958"/>
    <cellStyle name="Input 2" xfId="243"/>
    <cellStyle name="Input 2 - Light" xfId="959"/>
    <cellStyle name="Input 2 2" xfId="244"/>
    <cellStyle name="Input 2 3" xfId="245"/>
    <cellStyle name="Input 2 4" xfId="246"/>
    <cellStyle name="Input 2 5" xfId="247"/>
    <cellStyle name="Input 2 6" xfId="248"/>
    <cellStyle name="Input 2 7" xfId="249"/>
    <cellStyle name="Input 2_AOP Budget Bible 211105 v1" xfId="960"/>
    <cellStyle name="Input 3" xfId="250"/>
    <cellStyle name="Input 3 2" xfId="251"/>
    <cellStyle name="Input 3 3" xfId="252"/>
    <cellStyle name="Input 3 4" xfId="253"/>
    <cellStyle name="Input 3 5" xfId="254"/>
    <cellStyle name="Input 3 6" xfId="255"/>
    <cellStyle name="Input 3 7" xfId="256"/>
    <cellStyle name="Input 4" xfId="257"/>
    <cellStyle name="Input 4 2" xfId="258"/>
    <cellStyle name="Input 4 3" xfId="259"/>
    <cellStyle name="Input 4 4" xfId="260"/>
    <cellStyle name="Input 4 5" xfId="261"/>
    <cellStyle name="Input 4 6" xfId="262"/>
    <cellStyle name="Input 4 7" xfId="263"/>
    <cellStyle name="Input 5" xfId="961"/>
    <cellStyle name="Input 6" xfId="962"/>
    <cellStyle name="Input 7" xfId="963"/>
    <cellStyle name="Input 8" xfId="964"/>
    <cellStyle name="Input 9" xfId="965"/>
    <cellStyle name="Input calculation" xfId="264"/>
    <cellStyle name="Input data" xfId="16"/>
    <cellStyle name="Input data 2" xfId="265"/>
    <cellStyle name="Input estimate" xfId="266"/>
    <cellStyle name="Input label" xfId="267"/>
    <cellStyle name="Input link" xfId="268"/>
    <cellStyle name="Input link (different workbook)" xfId="269"/>
    <cellStyle name="Input link 10" xfId="270"/>
    <cellStyle name="Input link 11" xfId="271"/>
    <cellStyle name="Input link 12" xfId="272"/>
    <cellStyle name="Input link 13" xfId="273"/>
    <cellStyle name="Input link 14" xfId="274"/>
    <cellStyle name="Input link 15" xfId="275"/>
    <cellStyle name="Input link 16" xfId="276"/>
    <cellStyle name="Input link 17" xfId="277"/>
    <cellStyle name="Input link 18" xfId="278"/>
    <cellStyle name="Input link 19" xfId="279"/>
    <cellStyle name="Input link 2" xfId="280"/>
    <cellStyle name="Input link 20" xfId="281"/>
    <cellStyle name="Input link 21" xfId="282"/>
    <cellStyle name="Input link 22" xfId="283"/>
    <cellStyle name="Input link 23" xfId="284"/>
    <cellStyle name="Input link 24" xfId="285"/>
    <cellStyle name="Input link 25" xfId="286"/>
    <cellStyle name="Input link 26" xfId="287"/>
    <cellStyle name="Input link 27" xfId="288"/>
    <cellStyle name="Input link 28" xfId="289"/>
    <cellStyle name="Input link 29" xfId="290"/>
    <cellStyle name="Input link 3" xfId="291"/>
    <cellStyle name="Input link 30" xfId="292"/>
    <cellStyle name="Input link 31" xfId="293"/>
    <cellStyle name="Input link 32" xfId="294"/>
    <cellStyle name="Input link 33" xfId="295"/>
    <cellStyle name="Input link 34" xfId="296"/>
    <cellStyle name="Input link 4" xfId="297"/>
    <cellStyle name="Input link 5" xfId="298"/>
    <cellStyle name="Input link 6" xfId="299"/>
    <cellStyle name="Input link 7" xfId="300"/>
    <cellStyle name="Input link 8" xfId="301"/>
    <cellStyle name="Input link 9" xfId="302"/>
    <cellStyle name="Input link_Analysys_Research_RR228_Mobile_Entertainment_W_Europe_Data_Annex" xfId="303"/>
    <cellStyle name="Input parameter" xfId="17"/>
    <cellStyle name="Input parameter 2" xfId="304"/>
    <cellStyle name="Input parameter 3" xfId="966"/>
    <cellStyle name="Input-reformat" xfId="305"/>
    <cellStyle name="Intega" xfId="967"/>
    <cellStyle name="Komma [0]_PLDT" xfId="968"/>
    <cellStyle name="Komma_PLDT" xfId="969"/>
    <cellStyle name="KPMG Heading 1" xfId="970"/>
    <cellStyle name="KPMG Heading 3" xfId="971"/>
    <cellStyle name="KPMG Heading 4" xfId="972"/>
    <cellStyle name="KPMG Normal" xfId="973"/>
    <cellStyle name="KPMG Normal Text" xfId="974"/>
    <cellStyle name="Label" xfId="975"/>
    <cellStyle name="Label - Total" xfId="976"/>
    <cellStyle name="Label from list" xfId="306"/>
    <cellStyle name="Label from list 2" xfId="977"/>
    <cellStyle name="left" xfId="978"/>
    <cellStyle name="Main Title" xfId="307"/>
    <cellStyle name="Main Title 2" xfId="308"/>
    <cellStyle name="Main Title 3" xfId="309"/>
    <cellStyle name="Main Title 4" xfId="310"/>
    <cellStyle name="Main Title 5" xfId="311"/>
    <cellStyle name="Main Title 6" xfId="312"/>
    <cellStyle name="Main Title 7" xfId="313"/>
    <cellStyle name="MainHeading" xfId="979"/>
    <cellStyle name="max" xfId="980"/>
    <cellStyle name="Migliaia_pldt" xfId="981"/>
    <cellStyle name="Milliers [0]_laroux" xfId="982"/>
    <cellStyle name="Milliers_laroux" xfId="983"/>
    <cellStyle name="min" xfId="984"/>
    <cellStyle name="Model data" xfId="314"/>
    <cellStyle name="Monétaire [0]_laroux" xfId="985"/>
    <cellStyle name="Monétaire_laroux" xfId="986"/>
    <cellStyle name="month" xfId="987"/>
    <cellStyle name="months" xfId="988"/>
    <cellStyle name="MW" xfId="989"/>
    <cellStyle name="MWth" xfId="990"/>
    <cellStyle name="Name" xfId="8"/>
    <cellStyle name="Name 10" xfId="315"/>
    <cellStyle name="Name 11" xfId="316"/>
    <cellStyle name="Name 12" xfId="317"/>
    <cellStyle name="Name 13" xfId="318"/>
    <cellStyle name="Name 14" xfId="319"/>
    <cellStyle name="Name 15" xfId="320"/>
    <cellStyle name="Name 16" xfId="321"/>
    <cellStyle name="Name 17" xfId="322"/>
    <cellStyle name="Name 18" xfId="323"/>
    <cellStyle name="Name 19" xfId="324"/>
    <cellStyle name="Name 2" xfId="325"/>
    <cellStyle name="Name 20" xfId="326"/>
    <cellStyle name="Name 21" xfId="327"/>
    <cellStyle name="Name 22" xfId="328"/>
    <cellStyle name="Name 23" xfId="329"/>
    <cellStyle name="Name 24" xfId="330"/>
    <cellStyle name="Name 25" xfId="331"/>
    <cellStyle name="Name 26" xfId="332"/>
    <cellStyle name="Name 27" xfId="333"/>
    <cellStyle name="Name 28" xfId="334"/>
    <cellStyle name="Name 29" xfId="335"/>
    <cellStyle name="Name 3" xfId="336"/>
    <cellStyle name="Name 30" xfId="337"/>
    <cellStyle name="Name 31" xfId="338"/>
    <cellStyle name="Name 32" xfId="339"/>
    <cellStyle name="Name 33" xfId="340"/>
    <cellStyle name="Name 34" xfId="341"/>
    <cellStyle name="Name 4" xfId="342"/>
    <cellStyle name="Name 5" xfId="343"/>
    <cellStyle name="Name 6" xfId="344"/>
    <cellStyle name="Name 7" xfId="345"/>
    <cellStyle name="Name 8" xfId="346"/>
    <cellStyle name="Name 9" xfId="347"/>
    <cellStyle name="Name_Data_annex_for_Analysys_Mason_RRxxx" xfId="348"/>
    <cellStyle name="Named Range" xfId="991"/>
    <cellStyle name="Named Range Tag" xfId="992"/>
    <cellStyle name="Named Range_AOP Budget Bible 211105 v1" xfId="993"/>
    <cellStyle name="Names" xfId="994"/>
    <cellStyle name="no dec" xfId="995"/>
    <cellStyle name="Normal" xfId="0" builtinId="0"/>
    <cellStyle name="Normal - Style1" xfId="349"/>
    <cellStyle name="Normal 1" xfId="996"/>
    <cellStyle name="Normal 10" xfId="350"/>
    <cellStyle name="Normal 11" xfId="351"/>
    <cellStyle name="Normal 12" xfId="27"/>
    <cellStyle name="Normal 13" xfId="352"/>
    <cellStyle name="Normal 14" xfId="353"/>
    <cellStyle name="Normal 15" xfId="354"/>
    <cellStyle name="Normal 16" xfId="355"/>
    <cellStyle name="Normal 17" xfId="356"/>
    <cellStyle name="Normal 18" xfId="357"/>
    <cellStyle name="Normal 19" xfId="358"/>
    <cellStyle name="Normal 2" xfId="25"/>
    <cellStyle name="Normal 2 10" xfId="359"/>
    <cellStyle name="Normal 2 11" xfId="360"/>
    <cellStyle name="Normal 2 12" xfId="361"/>
    <cellStyle name="Normal 2 13" xfId="362"/>
    <cellStyle name="Normal 2 14" xfId="363"/>
    <cellStyle name="Normal 2 15" xfId="364"/>
    <cellStyle name="Normal 2 16" xfId="365"/>
    <cellStyle name="Normal 2 17" xfId="366"/>
    <cellStyle name="Normal 2 18" xfId="367"/>
    <cellStyle name="Normal 2 19" xfId="368"/>
    <cellStyle name="Normal 2 2" xfId="369"/>
    <cellStyle name="Normal 2 2 10" xfId="370"/>
    <cellStyle name="Normal 2 2 11" xfId="371"/>
    <cellStyle name="Normal 2 2 12" xfId="372"/>
    <cellStyle name="Normal 2 2 13" xfId="373"/>
    <cellStyle name="Normal 2 2 14" xfId="374"/>
    <cellStyle name="Normal 2 2 15" xfId="375"/>
    <cellStyle name="Normal 2 2 16" xfId="376"/>
    <cellStyle name="Normal 2 2 2" xfId="377"/>
    <cellStyle name="Normal 2 2 3" xfId="378"/>
    <cellStyle name="Normal 2 2 4" xfId="379"/>
    <cellStyle name="Normal 2 2 5" xfId="380"/>
    <cellStyle name="Normal 2 2 6" xfId="381"/>
    <cellStyle name="Normal 2 2 7" xfId="382"/>
    <cellStyle name="Normal 2 2 8" xfId="383"/>
    <cellStyle name="Normal 2 2 9" xfId="384"/>
    <cellStyle name="Normal 2 20" xfId="385"/>
    <cellStyle name="Normal 2 21" xfId="386"/>
    <cellStyle name="Normal 2 22" xfId="387"/>
    <cellStyle name="Normal 2 23" xfId="388"/>
    <cellStyle name="Normal 2 24" xfId="389"/>
    <cellStyle name="Normal 2 25" xfId="390"/>
    <cellStyle name="Normal 2 26" xfId="391"/>
    <cellStyle name="Normal 2 27" xfId="392"/>
    <cellStyle name="Normal 2 28" xfId="393"/>
    <cellStyle name="Normal 2 29" xfId="774"/>
    <cellStyle name="Normal 2 3" xfId="394"/>
    <cellStyle name="Normal 2 30" xfId="1083"/>
    <cellStyle name="Normal 2 4" xfId="395"/>
    <cellStyle name="Normal 2 5" xfId="396"/>
    <cellStyle name="Normal 2 6" xfId="397"/>
    <cellStyle name="Normal 2 7" xfId="398"/>
    <cellStyle name="Normal 2 8" xfId="399"/>
    <cellStyle name="Normal 2 9" xfId="400"/>
    <cellStyle name="Normal 20" xfId="401"/>
    <cellStyle name="Normal 21" xfId="402"/>
    <cellStyle name="Normal 22" xfId="403"/>
    <cellStyle name="Normal 23" xfId="404"/>
    <cellStyle name="Normal 24" xfId="405"/>
    <cellStyle name="Normal 25" xfId="406"/>
    <cellStyle name="Normal 26" xfId="407"/>
    <cellStyle name="Normal 27" xfId="408"/>
    <cellStyle name="Normal 28" xfId="409"/>
    <cellStyle name="Normal 29" xfId="410"/>
    <cellStyle name="Normal 3" xfId="411"/>
    <cellStyle name="Normal 3 10" xfId="412"/>
    <cellStyle name="Normal 3 11" xfId="413"/>
    <cellStyle name="Normal 3 12" xfId="414"/>
    <cellStyle name="Normal 3 13" xfId="415"/>
    <cellStyle name="Normal 3 14" xfId="416"/>
    <cellStyle name="Normal 3 15" xfId="997"/>
    <cellStyle name="Normal 3 2" xfId="417"/>
    <cellStyle name="Normal 3 2 2" xfId="998"/>
    <cellStyle name="Normal 3 3" xfId="418"/>
    <cellStyle name="Normal 3 4" xfId="419"/>
    <cellStyle name="Normal 3 5" xfId="420"/>
    <cellStyle name="Normal 3 6" xfId="421"/>
    <cellStyle name="Normal 3 7" xfId="422"/>
    <cellStyle name="Normal 3 8" xfId="423"/>
    <cellStyle name="Normal 3 9" xfId="424"/>
    <cellStyle name="Normal 30" xfId="425"/>
    <cellStyle name="Normal 31" xfId="426"/>
    <cellStyle name="Normal 32" xfId="427"/>
    <cellStyle name="Normal 33" xfId="428"/>
    <cellStyle name="Normal 34" xfId="429"/>
    <cellStyle name="Normal 35" xfId="430"/>
    <cellStyle name="Normal 36" xfId="431"/>
    <cellStyle name="Normal 37" xfId="432"/>
    <cellStyle name="Normal 38" xfId="433"/>
    <cellStyle name="Normal 39" xfId="999"/>
    <cellStyle name="Normal 4" xfId="434"/>
    <cellStyle name="Normal 4 2" xfId="435"/>
    <cellStyle name="Normal 40" xfId="1000"/>
    <cellStyle name="Normal 41" xfId="1082"/>
    <cellStyle name="Normal 5" xfId="436"/>
    <cellStyle name="Normal 5 2" xfId="437"/>
    <cellStyle name="Normal 5 3" xfId="438"/>
    <cellStyle name="Normal 6" xfId="439"/>
    <cellStyle name="Normal 7" xfId="440"/>
    <cellStyle name="Normal 7 2" xfId="441"/>
    <cellStyle name="Normal 8" xfId="442"/>
    <cellStyle name="Normal 9" xfId="443"/>
    <cellStyle name="Note" xfId="9" builtinId="10" customBuiltin="1"/>
    <cellStyle name="Note 10" xfId="444"/>
    <cellStyle name="Note 11" xfId="445"/>
    <cellStyle name="Note 12" xfId="446"/>
    <cellStyle name="Note 13" xfId="447"/>
    <cellStyle name="Note 14" xfId="448"/>
    <cellStyle name="Note 15" xfId="449"/>
    <cellStyle name="Note 16" xfId="450"/>
    <cellStyle name="Note 2" xfId="451"/>
    <cellStyle name="Note 2 10" xfId="452"/>
    <cellStyle name="Note 2 11" xfId="453"/>
    <cellStyle name="Note 2 12" xfId="454"/>
    <cellStyle name="Note 2 13" xfId="455"/>
    <cellStyle name="Note 2 2" xfId="456"/>
    <cellStyle name="Note 2 3" xfId="457"/>
    <cellStyle name="Note 2 4" xfId="458"/>
    <cellStyle name="Note 2 5" xfId="459"/>
    <cellStyle name="Note 2 6" xfId="460"/>
    <cellStyle name="Note 2 7" xfId="461"/>
    <cellStyle name="Note 2 8" xfId="462"/>
    <cellStyle name="Note 2 9" xfId="463"/>
    <cellStyle name="Note 3" xfId="464"/>
    <cellStyle name="Note 3 10" xfId="465"/>
    <cellStyle name="Note 3 11" xfId="466"/>
    <cellStyle name="Note 3 12" xfId="467"/>
    <cellStyle name="Note 3 13" xfId="468"/>
    <cellStyle name="Note 3 2" xfId="469"/>
    <cellStyle name="Note 3 3" xfId="470"/>
    <cellStyle name="Note 3 4" xfId="471"/>
    <cellStyle name="Note 3 5" xfId="472"/>
    <cellStyle name="Note 3 6" xfId="473"/>
    <cellStyle name="Note 3 7" xfId="474"/>
    <cellStyle name="Note 3 8" xfId="475"/>
    <cellStyle name="Note 3 9" xfId="476"/>
    <cellStyle name="Note 4" xfId="477"/>
    <cellStyle name="Note 4 10" xfId="478"/>
    <cellStyle name="Note 4 11" xfId="479"/>
    <cellStyle name="Note 4 12" xfId="480"/>
    <cellStyle name="Note 4 13" xfId="481"/>
    <cellStyle name="Note 4 2" xfId="482"/>
    <cellStyle name="Note 4 3" xfId="483"/>
    <cellStyle name="Note 4 4" xfId="484"/>
    <cellStyle name="Note 4 5" xfId="485"/>
    <cellStyle name="Note 4 6" xfId="486"/>
    <cellStyle name="Note 4 7" xfId="487"/>
    <cellStyle name="Note 4 8" xfId="488"/>
    <cellStyle name="Note 4 9" xfId="489"/>
    <cellStyle name="Note 5" xfId="490"/>
    <cellStyle name="Note 6" xfId="491"/>
    <cellStyle name="Note 7" xfId="492"/>
    <cellStyle name="Note 8" xfId="493"/>
    <cellStyle name="Note 9" xfId="494"/>
    <cellStyle name="NoteOrSource" xfId="18"/>
    <cellStyle name="Number" xfId="10"/>
    <cellStyle name="Number (2dp)" xfId="495"/>
    <cellStyle name="Number 10" xfId="496"/>
    <cellStyle name="Number 11" xfId="497"/>
    <cellStyle name="Number 12" xfId="498"/>
    <cellStyle name="Number 13" xfId="499"/>
    <cellStyle name="Number 14" xfId="500"/>
    <cellStyle name="Number 15" xfId="501"/>
    <cellStyle name="Number 16" xfId="502"/>
    <cellStyle name="Number 17" xfId="503"/>
    <cellStyle name="Number 18" xfId="504"/>
    <cellStyle name="Number 19" xfId="505"/>
    <cellStyle name="Number 2" xfId="506"/>
    <cellStyle name="Number 20" xfId="507"/>
    <cellStyle name="Number 21" xfId="508"/>
    <cellStyle name="Number 22" xfId="509"/>
    <cellStyle name="Number 23" xfId="510"/>
    <cellStyle name="Number 24" xfId="511"/>
    <cellStyle name="Number 25" xfId="512"/>
    <cellStyle name="Number 26" xfId="513"/>
    <cellStyle name="Number 27" xfId="514"/>
    <cellStyle name="Number 28" xfId="515"/>
    <cellStyle name="Number 29" xfId="516"/>
    <cellStyle name="Number 3" xfId="517"/>
    <cellStyle name="Number 30" xfId="518"/>
    <cellStyle name="Number 31" xfId="519"/>
    <cellStyle name="Number 32" xfId="520"/>
    <cellStyle name="Number 33" xfId="521"/>
    <cellStyle name="Number 34" xfId="522"/>
    <cellStyle name="Number 4" xfId="523"/>
    <cellStyle name="Number 5" xfId="524"/>
    <cellStyle name="Number 6" xfId="525"/>
    <cellStyle name="Number 7" xfId="526"/>
    <cellStyle name="Number 8" xfId="527"/>
    <cellStyle name="Number 9" xfId="528"/>
    <cellStyle name="Number_Analysys_Research_RR228_Mobile_Entertainment_W_Europe_Data_Annex" xfId="529"/>
    <cellStyle name="NumberLabel" xfId="530"/>
    <cellStyle name="NumberLabel 2" xfId="1001"/>
    <cellStyle name="Numbers" xfId="1002"/>
    <cellStyle name="Numeric point input" xfId="1003"/>
    <cellStyle name="Ofcom Note" xfId="21"/>
    <cellStyle name="Ofcom Output" xfId="19"/>
    <cellStyle name="OfcomConfidential" xfId="22"/>
    <cellStyle name="OfcomConfidential 2" xfId="1079"/>
    <cellStyle name="Output" xfId="11" builtinId="21" customBuiltin="1"/>
    <cellStyle name="Output 10" xfId="531"/>
    <cellStyle name="Output 11" xfId="532"/>
    <cellStyle name="Output 12" xfId="533"/>
    <cellStyle name="Output 13" xfId="534"/>
    <cellStyle name="Output 14" xfId="535"/>
    <cellStyle name="Output 15" xfId="536"/>
    <cellStyle name="Output 2" xfId="537"/>
    <cellStyle name="Output 2 10" xfId="538"/>
    <cellStyle name="Output 2 11" xfId="539"/>
    <cellStyle name="Output 2 12" xfId="540"/>
    <cellStyle name="Output 2 13" xfId="541"/>
    <cellStyle name="Output 2 14" xfId="542"/>
    <cellStyle name="Output 2 2" xfId="543"/>
    <cellStyle name="Output 2 3" xfId="544"/>
    <cellStyle name="Output 2 4" xfId="545"/>
    <cellStyle name="Output 2 5" xfId="546"/>
    <cellStyle name="Output 2 6" xfId="547"/>
    <cellStyle name="Output 2 7" xfId="548"/>
    <cellStyle name="Output 2 8" xfId="549"/>
    <cellStyle name="Output 2 9" xfId="550"/>
    <cellStyle name="Output 3" xfId="551"/>
    <cellStyle name="Output 3 10" xfId="552"/>
    <cellStyle name="Output 3 11" xfId="553"/>
    <cellStyle name="Output 3 12" xfId="554"/>
    <cellStyle name="Output 3 13" xfId="555"/>
    <cellStyle name="Output 3 2" xfId="556"/>
    <cellStyle name="Output 3 3" xfId="557"/>
    <cellStyle name="Output 3 4" xfId="558"/>
    <cellStyle name="Output 3 5" xfId="559"/>
    <cellStyle name="Output 3 6" xfId="560"/>
    <cellStyle name="Output 3 7" xfId="561"/>
    <cellStyle name="Output 3 8" xfId="562"/>
    <cellStyle name="Output 3 9" xfId="563"/>
    <cellStyle name="Output 4" xfId="564"/>
    <cellStyle name="Output 4 10" xfId="565"/>
    <cellStyle name="Output 4 11" xfId="566"/>
    <cellStyle name="Output 4 12" xfId="567"/>
    <cellStyle name="Output 4 13" xfId="568"/>
    <cellStyle name="Output 4 2" xfId="569"/>
    <cellStyle name="Output 4 3" xfId="570"/>
    <cellStyle name="Output 4 4" xfId="571"/>
    <cellStyle name="Output 4 5" xfId="572"/>
    <cellStyle name="Output 4 6" xfId="573"/>
    <cellStyle name="Output 4 7" xfId="574"/>
    <cellStyle name="Output 4 8" xfId="575"/>
    <cellStyle name="Output 4 9" xfId="576"/>
    <cellStyle name="Output 5" xfId="577"/>
    <cellStyle name="Output 6" xfId="578"/>
    <cellStyle name="Output 7" xfId="579"/>
    <cellStyle name="Output 8" xfId="580"/>
    <cellStyle name="Output 9" xfId="581"/>
    <cellStyle name="Output2" xfId="1004"/>
    <cellStyle name="Percent" xfId="24" builtinId="5"/>
    <cellStyle name="Percent [0]" xfId="582"/>
    <cellStyle name="Percent [1]" xfId="583"/>
    <cellStyle name="Percent [2]" xfId="584"/>
    <cellStyle name="Percent [2] 2" xfId="1005"/>
    <cellStyle name="Percent 10" xfId="585"/>
    <cellStyle name="Percent 11" xfId="586"/>
    <cellStyle name="Percent 12" xfId="587"/>
    <cellStyle name="Percent 13" xfId="588"/>
    <cellStyle name="Percent 14" xfId="589"/>
    <cellStyle name="Percent 15" xfId="590"/>
    <cellStyle name="Percent 16" xfId="591"/>
    <cellStyle name="Percent 17" xfId="592"/>
    <cellStyle name="Percent 2" xfId="593"/>
    <cellStyle name="Percent 2 2" xfId="594"/>
    <cellStyle name="Percent 2 3" xfId="1006"/>
    <cellStyle name="Percent 2 4" xfId="1084"/>
    <cellStyle name="Percent 3" xfId="595"/>
    <cellStyle name="Percent 3 2" xfId="596"/>
    <cellStyle name="Percent 3 3" xfId="1007"/>
    <cellStyle name="Percent 4" xfId="597"/>
    <cellStyle name="Percent 4 2" xfId="598"/>
    <cellStyle name="Percent 5" xfId="599"/>
    <cellStyle name="Percent 6" xfId="600"/>
    <cellStyle name="Percent 7" xfId="601"/>
    <cellStyle name="Percent 8" xfId="602"/>
    <cellStyle name="Percent 9" xfId="603"/>
    <cellStyle name="Percentage" xfId="12"/>
    <cellStyle name="Percentage (2dp)" xfId="604"/>
    <cellStyle name="Percentage 10" xfId="605"/>
    <cellStyle name="Percentage 11" xfId="606"/>
    <cellStyle name="Percentage 12" xfId="607"/>
    <cellStyle name="Percentage 13" xfId="608"/>
    <cellStyle name="Percentage 14" xfId="609"/>
    <cellStyle name="Percentage 15" xfId="610"/>
    <cellStyle name="Percentage 16" xfId="611"/>
    <cellStyle name="Percentage 17" xfId="612"/>
    <cellStyle name="Percentage 18" xfId="613"/>
    <cellStyle name="Percentage 19" xfId="614"/>
    <cellStyle name="Percentage 2" xfId="615"/>
    <cellStyle name="Percentage 20" xfId="616"/>
    <cellStyle name="Percentage 21" xfId="617"/>
    <cellStyle name="Percentage 22" xfId="618"/>
    <cellStyle name="Percentage 23" xfId="619"/>
    <cellStyle name="Percentage 24" xfId="620"/>
    <cellStyle name="Percentage 25" xfId="621"/>
    <cellStyle name="Percentage 26" xfId="622"/>
    <cellStyle name="Percentage 27" xfId="623"/>
    <cellStyle name="Percentage 28" xfId="624"/>
    <cellStyle name="Percentage 29" xfId="625"/>
    <cellStyle name="Percentage 3" xfId="626"/>
    <cellStyle name="Percentage 30" xfId="627"/>
    <cellStyle name="Percentage 31" xfId="628"/>
    <cellStyle name="Percentage 32" xfId="629"/>
    <cellStyle name="Percentage 33" xfId="630"/>
    <cellStyle name="Percentage 34" xfId="631"/>
    <cellStyle name="Percentage 4" xfId="632"/>
    <cellStyle name="Percentage 5" xfId="633"/>
    <cellStyle name="Percentage 6" xfId="634"/>
    <cellStyle name="Percentage 7" xfId="635"/>
    <cellStyle name="Percentage 8" xfId="636"/>
    <cellStyle name="Percentage 9" xfId="637"/>
    <cellStyle name="Percentage_Analysys_Research_RR228_Mobile_Entertainment_W_Europe_Data_Annex" xfId="638"/>
    <cellStyle name="phasing" xfId="1008"/>
    <cellStyle name="PlusMinus" xfId="1009"/>
    <cellStyle name="Prefilled" xfId="1010"/>
    <cellStyle name="Pres_Table_Header" xfId="639"/>
    <cellStyle name="Price" xfId="1011"/>
    <cellStyle name="Price  .00" xfId="1012"/>
    <cellStyle name="PSChar" xfId="640"/>
    <cellStyle name="PSDec" xfId="641"/>
    <cellStyle name="QA_Highlight" xfId="20"/>
    <cellStyle name="Ref Numbers" xfId="1013"/>
    <cellStyle name="RevList" xfId="1014"/>
    <cellStyle name="Row and Column Total" xfId="642"/>
    <cellStyle name="Row and Column Total 2" xfId="643"/>
    <cellStyle name="Row and Column Total 3" xfId="644"/>
    <cellStyle name="Row and Column Total 4" xfId="645"/>
    <cellStyle name="Row and Column Total 5" xfId="646"/>
    <cellStyle name="Row and Column Total 6" xfId="647"/>
    <cellStyle name="Row and Column Total 7" xfId="648"/>
    <cellStyle name="Row Heading" xfId="649"/>
    <cellStyle name="Row Heading (No Wrap)" xfId="650"/>
    <cellStyle name="Row Heading (No Wrap) 2" xfId="651"/>
    <cellStyle name="Row Heading (No Wrap) 3" xfId="652"/>
    <cellStyle name="Row Heading (No Wrap) 4" xfId="653"/>
    <cellStyle name="Row Heading (No Wrap) 5" xfId="654"/>
    <cellStyle name="Row Heading (No Wrap) 6" xfId="655"/>
    <cellStyle name="Row Heading (No Wrap) 7" xfId="656"/>
    <cellStyle name="Row Heading 2" xfId="657"/>
    <cellStyle name="Row Heading 3" xfId="658"/>
    <cellStyle name="Row Heading 4" xfId="659"/>
    <cellStyle name="Row Heading 5" xfId="660"/>
    <cellStyle name="Row Heading 6" xfId="661"/>
    <cellStyle name="Row Heading 7" xfId="662"/>
    <cellStyle name="Row label" xfId="663"/>
    <cellStyle name="Row label (indent)" xfId="664"/>
    <cellStyle name="Row Total" xfId="665"/>
    <cellStyle name="Row Total 2" xfId="666"/>
    <cellStyle name="Row Total 3" xfId="667"/>
    <cellStyle name="Row Total 4" xfId="668"/>
    <cellStyle name="Row Total 5" xfId="669"/>
    <cellStyle name="Row Total 6" xfId="670"/>
    <cellStyle name="Row Total 7" xfId="671"/>
    <cellStyle name="Section Heading" xfId="1015"/>
    <cellStyle name="Section Title" xfId="672"/>
    <cellStyle name="Section Title 2" xfId="673"/>
    <cellStyle name="Section Title 3" xfId="674"/>
    <cellStyle name="Section Title 4" xfId="675"/>
    <cellStyle name="Section Title 5" xfId="676"/>
    <cellStyle name="Section Title 6" xfId="677"/>
    <cellStyle name="Section Title 7" xfId="678"/>
    <cellStyle name="Section Title no wrap" xfId="1016"/>
    <cellStyle name="Section Title wrap" xfId="1017"/>
    <cellStyle name="sheet title" xfId="1018"/>
    <cellStyle name="SMALL" xfId="1019"/>
    <cellStyle name="Small Number" xfId="679"/>
    <cellStyle name="Small Number 2" xfId="680"/>
    <cellStyle name="Small Number 3" xfId="681"/>
    <cellStyle name="Small Number 4" xfId="682"/>
    <cellStyle name="Small Number 5" xfId="683"/>
    <cellStyle name="Small Number 6" xfId="684"/>
    <cellStyle name="Small Number 7" xfId="685"/>
    <cellStyle name="Small Percentage" xfId="686"/>
    <cellStyle name="Small Percentage 2" xfId="687"/>
    <cellStyle name="Small Percentage 3" xfId="688"/>
    <cellStyle name="Small Percentage 4" xfId="689"/>
    <cellStyle name="Small Percentage 5" xfId="690"/>
    <cellStyle name="Small Percentage 6" xfId="691"/>
    <cellStyle name="Small Percentage 7" xfId="692"/>
    <cellStyle name="Source" xfId="13"/>
    <cellStyle name="Source 2" xfId="1080"/>
    <cellStyle name="sp" xfId="1020"/>
    <cellStyle name="Standaard_tabel 2" xfId="1021"/>
    <cellStyle name="String point input" xfId="1022"/>
    <cellStyle name="style" xfId="1023"/>
    <cellStyle name="Style 1" xfId="1024"/>
    <cellStyle name="style1" xfId="1025"/>
    <cellStyle name="style2" xfId="1026"/>
    <cellStyle name="SubHeading1" xfId="1027"/>
    <cellStyle name="SubHeading2" xfId="1028"/>
    <cellStyle name="Subsection Heading" xfId="1029"/>
    <cellStyle name="Sub-section heading" xfId="1030"/>
    <cellStyle name="subtitle" xfId="1031"/>
    <cellStyle name="Subtotal" xfId="1032"/>
    <cellStyle name="Sub-Total" xfId="1033"/>
    <cellStyle name="Sub-total row" xfId="693"/>
    <cellStyle name="Subtotal_200708 revenue by GLAccountingAdjustments" xfId="1034"/>
    <cellStyle name="Summe" xfId="1035"/>
    <cellStyle name="System_Text" xfId="1036"/>
    <cellStyle name="t" xfId="1037"/>
    <cellStyle name="Table finish row" xfId="694"/>
    <cellStyle name="Table Heading" xfId="1038"/>
    <cellStyle name="Table shading" xfId="695"/>
    <cellStyle name="Table unfinish row" xfId="696"/>
    <cellStyle name="Table unshading" xfId="697"/>
    <cellStyle name="Table_Header_shading" xfId="698"/>
    <cellStyle name="TableContent" xfId="770"/>
    <cellStyle name="TableTitle" xfId="768"/>
    <cellStyle name="Text" xfId="699"/>
    <cellStyle name="Title 1" xfId="1039"/>
    <cellStyle name="Title 2" xfId="1040"/>
    <cellStyle name="Title 3" xfId="1041"/>
    <cellStyle name="Title 4" xfId="1042"/>
    <cellStyle name="Title Heading" xfId="700"/>
    <cellStyle name="Title Heading 2" xfId="701"/>
    <cellStyle name="Title Heading 3" xfId="702"/>
    <cellStyle name="Title Heading 4" xfId="703"/>
    <cellStyle name="Title Heading 5" xfId="704"/>
    <cellStyle name="Title Heading 6" xfId="705"/>
    <cellStyle name="Title Heading 7" xfId="706"/>
    <cellStyle name="Title Line" xfId="1043"/>
    <cellStyle name="TitlePage" xfId="1044"/>
    <cellStyle name="Top Row" xfId="1045"/>
    <cellStyle name="Total" xfId="14" builtinId="25" customBuiltin="1"/>
    <cellStyle name="Total - Grand" xfId="1046"/>
    <cellStyle name="Total - Sub" xfId="1047"/>
    <cellStyle name="Total 10" xfId="707"/>
    <cellStyle name="Total 11" xfId="708"/>
    <cellStyle name="Total 12" xfId="709"/>
    <cellStyle name="Total 13" xfId="710"/>
    <cellStyle name="Total 14" xfId="711"/>
    <cellStyle name="Total 15" xfId="712"/>
    <cellStyle name="Total 2" xfId="713"/>
    <cellStyle name="Total 2 10" xfId="714"/>
    <cellStyle name="Total 2 11" xfId="715"/>
    <cellStyle name="Total 2 12" xfId="716"/>
    <cellStyle name="Total 2 13" xfId="717"/>
    <cellStyle name="Total 2 2" xfId="718"/>
    <cellStyle name="Total 2 3" xfId="719"/>
    <cellStyle name="Total 2 4" xfId="720"/>
    <cellStyle name="Total 2 5" xfId="721"/>
    <cellStyle name="Total 2 6" xfId="722"/>
    <cellStyle name="Total 2 7" xfId="723"/>
    <cellStyle name="Total 2 8" xfId="724"/>
    <cellStyle name="Total 2 9" xfId="725"/>
    <cellStyle name="Total 3" xfId="726"/>
    <cellStyle name="Total 3 10" xfId="727"/>
    <cellStyle name="Total 3 11" xfId="728"/>
    <cellStyle name="Total 3 12" xfId="729"/>
    <cellStyle name="Total 3 13" xfId="730"/>
    <cellStyle name="Total 3 2" xfId="731"/>
    <cellStyle name="Total 3 3" xfId="732"/>
    <cellStyle name="Total 3 4" xfId="733"/>
    <cellStyle name="Total 3 5" xfId="734"/>
    <cellStyle name="Total 3 6" xfId="735"/>
    <cellStyle name="Total 3 7" xfId="736"/>
    <cellStyle name="Total 3 8" xfId="737"/>
    <cellStyle name="Total 3 9" xfId="738"/>
    <cellStyle name="Total 4" xfId="739"/>
    <cellStyle name="Total 4 10" xfId="740"/>
    <cellStyle name="Total 4 11" xfId="741"/>
    <cellStyle name="Total 4 12" xfId="742"/>
    <cellStyle name="Total 4 13" xfId="743"/>
    <cellStyle name="Total 4 2" xfId="744"/>
    <cellStyle name="Total 4 3" xfId="745"/>
    <cellStyle name="Total 4 4" xfId="746"/>
    <cellStyle name="Total 4 5" xfId="747"/>
    <cellStyle name="Total 4 6" xfId="748"/>
    <cellStyle name="Total 4 7" xfId="749"/>
    <cellStyle name="Total 4 8" xfId="750"/>
    <cellStyle name="Total 4 9" xfId="751"/>
    <cellStyle name="Total 5" xfId="752"/>
    <cellStyle name="Total 6" xfId="753"/>
    <cellStyle name="Total 7" xfId="754"/>
    <cellStyle name="Total 8" xfId="755"/>
    <cellStyle name="Total 9" xfId="756"/>
    <cellStyle name="total label" xfId="1048"/>
    <cellStyle name="Total row" xfId="757"/>
    <cellStyle name="total variable" xfId="1049"/>
    <cellStyle name="Unhighlight" xfId="15"/>
    <cellStyle name="Unhighlight 2" xfId="1050"/>
    <cellStyle name="Untotal row" xfId="758"/>
    <cellStyle name="UPPER" xfId="1051"/>
    <cellStyle name="URLRow" xfId="771"/>
    <cellStyle name="Valuta (0)_pldt" xfId="1052"/>
    <cellStyle name="Valuta [0]_PLDT" xfId="1053"/>
    <cellStyle name="Valuta_pldt" xfId="1054"/>
    <cellStyle name="Währung [0]_corporate" xfId="1055"/>
    <cellStyle name="Währung_corporate" xfId="1056"/>
    <cellStyle name="Word_Table_Header" xfId="759"/>
    <cellStyle name="WP Header" xfId="760"/>
    <cellStyle name="WP Header 2" xfId="761"/>
    <cellStyle name="WP Header 3" xfId="762"/>
    <cellStyle name="WP Header 4" xfId="763"/>
    <cellStyle name="WP Header 5" xfId="764"/>
    <cellStyle name="WP Header 6" xfId="765"/>
    <cellStyle name="WP Header 7" xfId="766"/>
    <cellStyle name="wrap" xfId="1057"/>
    <cellStyle name="x [1]" xfId="1058"/>
    <cellStyle name="year" xfId="1059"/>
    <cellStyle name="yeardate" xfId="1060"/>
    <cellStyle name="years" xfId="1061"/>
    <cellStyle name="콤마 [0]_AGSFILEO" xfId="76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969696"/>
      <color rgb="FFE8D9E8"/>
      <color rgb="FFE65767"/>
      <color rgb="FFF7941D"/>
      <color rgb="FF660066"/>
      <color rgb="FFFFF200"/>
      <color rgb="FF00FFFF"/>
      <color rgb="FFC90044"/>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microsoft.com/office/2006/relationships/attachedToolbars" Target="attachedToolbars.bin"/></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628650</xdr:colOff>
      <xdr:row>2</xdr:row>
      <xdr:rowOff>19050</xdr:rowOff>
    </xdr:to>
    <xdr:pic>
      <xdr:nvPicPr>
        <xdr:cNvPr id="5188"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723900</xdr:colOff>
      <xdr:row>2</xdr:row>
      <xdr:rowOff>19050</xdr:rowOff>
    </xdr:to>
    <xdr:pic>
      <xdr:nvPicPr>
        <xdr:cNvPr id="3087"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638175</xdr:colOff>
      <xdr:row>2</xdr:row>
      <xdr:rowOff>19050</xdr:rowOff>
    </xdr:to>
    <xdr:pic>
      <xdr:nvPicPr>
        <xdr:cNvPr id="6165"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66675" y="57150"/>
          <a:ext cx="2209800" cy="647700"/>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2</xdr:col>
      <xdr:colOff>314325</xdr:colOff>
      <xdr:row>2</xdr:row>
      <xdr:rowOff>19050</xdr:rowOff>
    </xdr:to>
    <xdr:pic>
      <xdr:nvPicPr>
        <xdr:cNvPr id="2093"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66675" y="57150"/>
          <a:ext cx="2209800" cy="647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02435314\Documents\OR\FA%20Charge%20Control\1st%20S135\tranche%202\COM%20V4%200%20(1FWF)_v9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fice.bt.com/sites/groupregulatoryfinance/Transformation/Regulatory%20Costing%20-%20Quick%20Fix/2011_12%20P9/COM%20Model/0fxm%20New%20Format/Documents%20and%20Settings/langtoar/My%20Documents/a3vcs2.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ocuments\Work\Projects\LLU%20WRL%20CC\Volumes\Narrowband\1.Demand%20-%20PS%20edit%20bus%20sites%20input.%20xls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projects.loop/lluwlrcc2014/cons/Main%20consultation/Volumes%20Model%20130620%20a%20-%20new%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802435314\AppData\Local\Microsoft\Windows\Temporary%20Internet%20Files\Content.Outlook\OY4EHFWG\(6)%20FY12%20data%20reconciliation%20v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ITLE"/>
      <sheetName val="Index"/>
      <sheetName val="Control &amp; Update Notes"/>
      <sheetName val="Print (2)"/>
      <sheetName val="Flow Chart &amp; Instructions"/>
      <sheetName val="Footnotes"/>
      <sheetName val="Ref Lkups &amp; Overrides"/>
      <sheetName val="Vertical Service View"/>
      <sheetName val="ASPIRE extract"/>
      <sheetName val="LRIC Data"/>
      <sheetName val="Anx 16 Order"/>
      <sheetName val="PPC Int Ext"/>
      <sheetName val="PPC Price Other"/>
      <sheetName val="PPC EM"/>
      <sheetName val="Market Tops"/>
      <sheetName val="Comp Uplift"/>
      <sheetName val="ORDER"/>
      <sheetName val="NSOC"/>
      <sheetName val="NRSS"/>
      <sheetName val="NSOC COMP_£"/>
      <sheetName val="EOI Chg"/>
      <sheetName val="EOI ND"/>
      <sheetName val="Average charges"/>
      <sheetName val="Total Rev"/>
      <sheetName val="Ext Rev"/>
      <sheetName val="DEW Rev"/>
      <sheetName val="Published Comp"/>
      <sheetName val="Pivot - SC by Service"/>
      <sheetName val="Pivot - SC by Market"/>
      <sheetName val="Data Set"/>
      <sheetName val="A11 PSTN"/>
      <sheetName val="A11 ISDN2"/>
      <sheetName val="A12 ISDN30"/>
      <sheetName val="A11 Low TISBO"/>
      <sheetName val="A11 HighTISBO"/>
      <sheetName val="A11 V High TISBO"/>
      <sheetName val="A11 AISBO"/>
      <sheetName val="A11 WLA"/>
      <sheetName val="An13 Call Orig"/>
      <sheetName val="A13 Transit"/>
      <sheetName val="An11 IX"/>
      <sheetName val="A13 Call Term"/>
      <sheetName val="A11 Trunk"/>
      <sheetName val="An11 POH"/>
      <sheetName val="A11 WBA 1"/>
      <sheetName val="A11 WBA2"/>
      <sheetName val="Annex 15"/>
      <sheetName val="Annex 15 PY"/>
      <sheetName val="Annex 16 Page 1"/>
      <sheetName val="Annex 16 Page 1 PY"/>
      <sheetName val="Annex 16 Page 2"/>
      <sheetName val="Annex 16 Page 2 PY"/>
      <sheetName val="Annex 16 Page 3"/>
      <sheetName val="Annex 16 Page 3 PY"/>
      <sheetName val="Annex 16 Page 4"/>
      <sheetName val="Annex 16 Page 4 PY"/>
      <sheetName val="Annex 16 Page 5"/>
      <sheetName val="Annex 16 Page 5 PY"/>
      <sheetName val="Annex 16 Page 6"/>
      <sheetName val="Annex 16 Page 6 PY"/>
      <sheetName val="Annex 16 Page 7"/>
      <sheetName val="Annex 16 Page 7 PY"/>
      <sheetName val="Annex 16 Unpub1"/>
      <sheetName val="Annex 16 Unpub2"/>
      <sheetName val="Annex 16 Unpub3"/>
      <sheetName val="Annex 16 Unpub4"/>
      <sheetName val="Annex 16 Unpub5"/>
      <sheetName val="Annex 16 Unpub6"/>
      <sheetName val="Annex 16 Unpub7"/>
      <sheetName val="Annex 17"/>
      <sheetName val="Annex 17 PY"/>
      <sheetName val="Pub Service Summary"/>
      <sheetName val="WBA Ceases"/>
      <sheetName val="Integrity"/>
    </sheetNames>
    <sheetDataSet>
      <sheetData sheetId="0"/>
      <sheetData sheetId="1"/>
      <sheetData sheetId="2"/>
      <sheetData sheetId="3"/>
      <sheetData sheetId="4"/>
      <sheetData sheetId="5"/>
      <sheetData sheetId="6">
        <row r="320">
          <cell r="B320" t="str">
            <v>comp</v>
          </cell>
          <cell r="C320" t="str">
            <v>unit</v>
          </cell>
          <cell r="D320" t="str">
            <v>Calculation</v>
          </cell>
          <cell r="E320" t="str">
            <v>Units</v>
          </cell>
        </row>
        <row r="321">
          <cell r="D321" t="str">
            <v>Component 1</v>
          </cell>
        </row>
        <row r="322">
          <cell r="B322" t="str">
            <v>CO417</v>
          </cell>
          <cell r="C322" t="str">
            <v>circuits</v>
          </cell>
          <cell r="D322" t="str">
            <v>CO417</v>
          </cell>
          <cell r="E322" t="str">
            <v>circuits</v>
          </cell>
        </row>
        <row r="323">
          <cell r="B323" t="str">
            <v>CO326</v>
          </cell>
          <cell r="C323" t="str">
            <v>mm10</v>
          </cell>
          <cell r="D323" t="str">
            <v>CO326</v>
          </cell>
          <cell r="E323" t="str">
            <v>mm10</v>
          </cell>
        </row>
        <row r="324">
          <cell r="B324" t="str">
            <v>CO340</v>
          </cell>
          <cell r="C324" t="str">
            <v>mm10</v>
          </cell>
          <cell r="D324" t="str">
            <v>CO340</v>
          </cell>
          <cell r="E324" t="str">
            <v>mm10</v>
          </cell>
        </row>
        <row r="325">
          <cell r="C325">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2">
          <cell r="C12" t="str">
            <v>SuperComp</v>
          </cell>
          <cell r="D12" t="str">
            <v>Lead comp</v>
          </cell>
          <cell r="E12" t="str">
            <v>Fully Allocated Cost (£m)</v>
          </cell>
          <cell r="G12" t="str">
            <v>Footnotes</v>
          </cell>
          <cell r="H12" t="str">
            <v>HCA operating cost</v>
          </cell>
          <cell r="I12" t="str">
            <v>Supplementary depreciation</v>
          </cell>
          <cell r="J12" t="str">
            <v>Holding gain and other CCA adjustments</v>
          </cell>
          <cell r="K12" t="str">
            <v>Total CCA operating costs</v>
          </cell>
          <cell r="L12" t="str">
            <v>CCA mean capital employed</v>
          </cell>
          <cell r="M12" t="str">
            <v xml:space="preserve">Applicable rate of return on capital % </v>
          </cell>
          <cell r="N12" t="str">
            <v>Capital costs</v>
          </cell>
          <cell r="O12" t="str">
            <v>Total of operating costs and capital costs relating to current year</v>
          </cell>
          <cell r="P12" t="str">
            <v>Volume (b)</v>
          </cell>
          <cell r="Q12" t="str">
            <v>Units</v>
          </cell>
          <cell r="R12" t="str">
            <v>Average costs per min/unit on a current cost basis relating to current year</v>
          </cell>
        </row>
        <row r="14">
          <cell r="E14" t="str">
            <v>SMP Cost Accounting components</v>
          </cell>
        </row>
        <row r="16">
          <cell r="C16" t="str">
            <v>CV034</v>
          </cell>
          <cell r="D16" t="str">
            <v>CO214+CO215</v>
          </cell>
          <cell r="E16" t="str">
            <v>Local exchange concentrator</v>
          </cell>
          <cell r="G16" t="str">
            <v/>
          </cell>
          <cell r="H16">
            <v>83</v>
          </cell>
          <cell r="I16">
            <v>-3</v>
          </cell>
          <cell r="J16">
            <v>5</v>
          </cell>
          <cell r="K16">
            <v>85</v>
          </cell>
          <cell r="L16">
            <v>130</v>
          </cell>
          <cell r="M16">
            <v>9.6999999999999993</v>
          </cell>
          <cell r="N16">
            <v>13</v>
          </cell>
          <cell r="O16">
            <v>98</v>
          </cell>
          <cell r="P16">
            <v>155994</v>
          </cell>
          <cell r="Q16" t="str">
            <v>mm</v>
          </cell>
          <cell r="R16">
            <v>6.2936286011000417E-2</v>
          </cell>
        </row>
        <row r="17">
          <cell r="C17" t="str">
            <v>CV001</v>
          </cell>
          <cell r="D17" t="str">
            <v>CO210+CO212</v>
          </cell>
          <cell r="E17" t="str">
            <v>Local exchange processor</v>
          </cell>
          <cell r="G17" t="str">
            <v/>
          </cell>
          <cell r="H17">
            <v>76</v>
          </cell>
          <cell r="I17">
            <v>-2</v>
          </cell>
          <cell r="J17">
            <v>3</v>
          </cell>
          <cell r="K17">
            <v>77</v>
          </cell>
          <cell r="L17">
            <v>112</v>
          </cell>
          <cell r="M17">
            <v>9.6999999999999993</v>
          </cell>
          <cell r="N17">
            <v>11</v>
          </cell>
          <cell r="O17">
            <v>88</v>
          </cell>
          <cell r="P17">
            <v>154935</v>
          </cell>
          <cell r="Q17" t="str">
            <v>mm</v>
          </cell>
          <cell r="R17">
            <v>5.7154593861942105E-2</v>
          </cell>
        </row>
        <row r="18">
          <cell r="C18" t="str">
            <v>CO325</v>
          </cell>
          <cell r="D18" t="str">
            <v>CO325</v>
          </cell>
          <cell r="E18" t="str">
            <v>Remote - local transmission link</v>
          </cell>
          <cell r="G18" t="str">
            <v/>
          </cell>
          <cell r="H18">
            <v>40</v>
          </cell>
          <cell r="I18">
            <v>0</v>
          </cell>
          <cell r="J18">
            <v>0</v>
          </cell>
          <cell r="K18">
            <v>40</v>
          </cell>
          <cell r="L18">
            <v>49</v>
          </cell>
          <cell r="M18">
            <v>9.6999999999999993</v>
          </cell>
          <cell r="N18">
            <v>5</v>
          </cell>
          <cell r="O18">
            <v>45</v>
          </cell>
          <cell r="P18">
            <v>124587</v>
          </cell>
          <cell r="Q18" t="str">
            <v>mm</v>
          </cell>
          <cell r="R18">
            <v>3.5537591401992183E-2</v>
          </cell>
        </row>
        <row r="19">
          <cell r="C19" t="str">
            <v>CO326</v>
          </cell>
          <cell r="D19" t="str">
            <v>CO326</v>
          </cell>
          <cell r="E19" t="str">
            <v>Remote - local transmission length</v>
          </cell>
          <cell r="G19" t="str">
            <v>(c)</v>
          </cell>
          <cell r="H19">
            <v>29</v>
          </cell>
          <cell r="I19">
            <v>5</v>
          </cell>
          <cell r="J19">
            <v>-13</v>
          </cell>
          <cell r="K19">
            <v>21</v>
          </cell>
          <cell r="L19">
            <v>282</v>
          </cell>
          <cell r="M19">
            <v>9.6999999999999993</v>
          </cell>
          <cell r="N19">
            <v>27</v>
          </cell>
          <cell r="O19">
            <v>48</v>
          </cell>
          <cell r="P19">
            <v>220117</v>
          </cell>
          <cell r="Q19" t="str">
            <v>mm</v>
          </cell>
          <cell r="R19">
            <v>2.1868531735395266E-2</v>
          </cell>
        </row>
        <row r="20">
          <cell r="C20" t="str">
            <v>CO512</v>
          </cell>
          <cell r="D20" t="str">
            <v>CO512</v>
          </cell>
          <cell r="E20" t="str">
            <v>Product management policy &amp; planning</v>
          </cell>
          <cell r="G20" t="str">
            <v/>
          </cell>
          <cell r="H20">
            <v>18</v>
          </cell>
          <cell r="I20">
            <v>0</v>
          </cell>
          <cell r="J20">
            <v>0</v>
          </cell>
          <cell r="K20">
            <v>18</v>
          </cell>
          <cell r="L20">
            <v>5</v>
          </cell>
          <cell r="M20">
            <v>9.6999999999999993</v>
          </cell>
          <cell r="N20">
            <v>1</v>
          </cell>
          <cell r="O20">
            <v>19</v>
          </cell>
          <cell r="P20">
            <v>162598</v>
          </cell>
          <cell r="Q20" t="str">
            <v>mm</v>
          </cell>
          <cell r="R20">
            <v>1.1089221884648028E-2</v>
          </cell>
        </row>
        <row r="21">
          <cell r="C21" t="str">
            <v>CO452</v>
          </cell>
          <cell r="D21" t="str">
            <v>CO452</v>
          </cell>
          <cell r="E21" t="str">
            <v>Interconnect local end rental 2Mbit/s</v>
          </cell>
          <cell r="G21" t="str">
            <v/>
          </cell>
          <cell r="H21">
            <v>2</v>
          </cell>
          <cell r="I21">
            <v>0</v>
          </cell>
          <cell r="J21">
            <v>0</v>
          </cell>
          <cell r="K21">
            <v>2</v>
          </cell>
          <cell r="L21">
            <v>5</v>
          </cell>
          <cell r="M21">
            <v>9.6999999999999993</v>
          </cell>
          <cell r="N21">
            <v>0</v>
          </cell>
          <cell r="O21">
            <v>2</v>
          </cell>
          <cell r="P21">
            <v>14701</v>
          </cell>
          <cell r="Q21" t="str">
            <v>circuits</v>
          </cell>
          <cell r="R21">
            <v>199.93714713284811</v>
          </cell>
        </row>
        <row r="22">
          <cell r="C22" t="str">
            <v>CO453</v>
          </cell>
          <cell r="D22" t="str">
            <v>CR453</v>
          </cell>
          <cell r="E22" t="str">
            <v>Interconnect 2Mbit/s connection</v>
          </cell>
          <cell r="G22" t="str">
            <v/>
          </cell>
          <cell r="H22">
            <v>2</v>
          </cell>
          <cell r="I22">
            <v>0</v>
          </cell>
          <cell r="J22">
            <v>0</v>
          </cell>
          <cell r="K22">
            <v>2</v>
          </cell>
          <cell r="L22">
            <v>1</v>
          </cell>
          <cell r="M22">
            <v>9.6999999999999993</v>
          </cell>
          <cell r="N22">
            <v>0</v>
          </cell>
          <cell r="O22">
            <v>2</v>
          </cell>
          <cell r="P22">
            <v>1808</v>
          </cell>
          <cell r="Q22" t="str">
            <v>circuits</v>
          </cell>
          <cell r="R22">
            <v>1275.728982300885</v>
          </cell>
        </row>
        <row r="23">
          <cell r="C23" t="str">
            <v>CO458</v>
          </cell>
          <cell r="D23" t="str">
            <v>CO458</v>
          </cell>
          <cell r="E23" t="str">
            <v>Interconnect extension circuits (IEC) 2Mbit/s link</v>
          </cell>
          <cell r="G23" t="str">
            <v/>
          </cell>
          <cell r="H23">
            <v>2</v>
          </cell>
          <cell r="I23">
            <v>0</v>
          </cell>
          <cell r="J23">
            <v>0</v>
          </cell>
          <cell r="K23">
            <v>2</v>
          </cell>
          <cell r="L23">
            <v>4</v>
          </cell>
          <cell r="M23">
            <v>9.6999999999999993</v>
          </cell>
          <cell r="N23">
            <v>0</v>
          </cell>
          <cell r="O23">
            <v>2</v>
          </cell>
          <cell r="P23">
            <v>11394</v>
          </cell>
          <cell r="Q23" t="str">
            <v>circuits</v>
          </cell>
          <cell r="R23">
            <v>224.71879936808847</v>
          </cell>
        </row>
        <row r="24">
          <cell r="C24" t="str">
            <v>CO459</v>
          </cell>
          <cell r="D24" t="str">
            <v>CO459</v>
          </cell>
          <cell r="E24" t="str">
            <v>Customer Sited Interconnect cct (CSI) 2Mbit/s link</v>
          </cell>
          <cell r="G24" t="str">
            <v/>
          </cell>
          <cell r="H24">
            <v>3</v>
          </cell>
          <cell r="I24">
            <v>0</v>
          </cell>
          <cell r="J24">
            <v>0</v>
          </cell>
          <cell r="K24">
            <v>3</v>
          </cell>
          <cell r="L24">
            <v>6</v>
          </cell>
          <cell r="M24">
            <v>9.6999999999999993</v>
          </cell>
          <cell r="N24">
            <v>1</v>
          </cell>
          <cell r="O24">
            <v>4</v>
          </cell>
          <cell r="P24">
            <v>14701</v>
          </cell>
          <cell r="Q24" t="str">
            <v>circuits</v>
          </cell>
          <cell r="R24">
            <v>232.37262771240052</v>
          </cell>
        </row>
        <row r="25">
          <cell r="C25" t="str">
            <v>CO466</v>
          </cell>
          <cell r="D25" t="str">
            <v>CO466</v>
          </cell>
          <cell r="E25" t="str">
            <v>Interconnect extension circuits (IEC) 2Mbit per km</v>
          </cell>
          <cell r="G25" t="str">
            <v/>
          </cell>
          <cell r="H25">
            <v>1</v>
          </cell>
          <cell r="I25">
            <v>0</v>
          </cell>
          <cell r="J25">
            <v>0</v>
          </cell>
          <cell r="K25">
            <v>1</v>
          </cell>
          <cell r="L25">
            <v>8</v>
          </cell>
          <cell r="M25">
            <v>9.6999999999999993</v>
          </cell>
          <cell r="N25">
            <v>1</v>
          </cell>
          <cell r="O25">
            <v>2</v>
          </cell>
          <cell r="P25">
            <v>272146</v>
          </cell>
          <cell r="Q25" t="str">
            <v>km</v>
          </cell>
          <cell r="R25">
            <v>6.8537512952606319</v>
          </cell>
        </row>
        <row r="26">
          <cell r="C26" t="str">
            <v>CO467</v>
          </cell>
          <cell r="D26" t="str">
            <v>CO467</v>
          </cell>
          <cell r="E26" t="str">
            <v>Customer Sited Interconnect cct (CSI) 2Mbit per km</v>
          </cell>
          <cell r="G26" t="str">
            <v/>
          </cell>
          <cell r="H26">
            <v>2</v>
          </cell>
          <cell r="I26">
            <v>0</v>
          </cell>
          <cell r="J26">
            <v>0</v>
          </cell>
          <cell r="K26">
            <v>2</v>
          </cell>
          <cell r="L26">
            <v>12</v>
          </cell>
          <cell r="M26">
            <v>9.6999999999999993</v>
          </cell>
          <cell r="N26">
            <v>1</v>
          </cell>
          <cell r="O26">
            <v>3</v>
          </cell>
          <cell r="P26">
            <v>397206</v>
          </cell>
          <cell r="Q26" t="str">
            <v>km</v>
          </cell>
          <cell r="R26">
            <v>6.8555837525112917</v>
          </cell>
        </row>
        <row r="27">
          <cell r="C27" t="str">
            <v>CO468</v>
          </cell>
          <cell r="D27" t="str">
            <v>CO468</v>
          </cell>
          <cell r="E27" t="str">
            <v>In Span Interconnect circuits (ISI) transmission</v>
          </cell>
          <cell r="G27" t="str">
            <v/>
          </cell>
          <cell r="H27">
            <v>1</v>
          </cell>
          <cell r="I27">
            <v>0</v>
          </cell>
          <cell r="J27">
            <v>0</v>
          </cell>
          <cell r="K27">
            <v>1</v>
          </cell>
          <cell r="L27">
            <v>2</v>
          </cell>
          <cell r="M27">
            <v>9.6999999999999993</v>
          </cell>
          <cell r="N27">
            <v>0</v>
          </cell>
          <cell r="O27">
            <v>1</v>
          </cell>
          <cell r="P27">
            <v>7954</v>
          </cell>
          <cell r="Q27" t="str">
            <v>100m</v>
          </cell>
          <cell r="R27">
            <v>183.35353281367864</v>
          </cell>
        </row>
        <row r="28">
          <cell r="C28" t="str">
            <v>CO460</v>
          </cell>
          <cell r="D28" t="str">
            <v>CO460</v>
          </cell>
          <cell r="E28" t="str">
            <v>Nominated In Span I/Connect cct (ISI) transmission</v>
          </cell>
          <cell r="G28" t="str">
            <v/>
          </cell>
          <cell r="H28">
            <v>1</v>
          </cell>
          <cell r="I28">
            <v>0</v>
          </cell>
          <cell r="J28">
            <v>0</v>
          </cell>
          <cell r="K28">
            <v>1</v>
          </cell>
          <cell r="L28">
            <v>5</v>
          </cell>
          <cell r="M28">
            <v>9.6999999999999993</v>
          </cell>
          <cell r="N28">
            <v>0</v>
          </cell>
          <cell r="O28">
            <v>1</v>
          </cell>
          <cell r="P28">
            <v>20300</v>
          </cell>
          <cell r="Q28" t="str">
            <v>100m</v>
          </cell>
          <cell r="R28">
            <v>45.727586206896554</v>
          </cell>
        </row>
        <row r="29">
          <cell r="C29" t="str">
            <v>CO469</v>
          </cell>
          <cell r="D29" t="str">
            <v>CR469</v>
          </cell>
          <cell r="E29" t="str">
            <v>Intra Building Circuit (IBC) connection</v>
          </cell>
          <cell r="G29" t="str">
            <v/>
          </cell>
          <cell r="H29">
            <v>1</v>
          </cell>
          <cell r="I29">
            <v>0</v>
          </cell>
          <cell r="J29">
            <v>0</v>
          </cell>
          <cell r="K29">
            <v>1</v>
          </cell>
          <cell r="L29">
            <v>1</v>
          </cell>
          <cell r="M29">
            <v>9.6999999999999993</v>
          </cell>
          <cell r="N29">
            <v>0</v>
          </cell>
          <cell r="O29">
            <v>1</v>
          </cell>
          <cell r="P29">
            <v>3054</v>
          </cell>
          <cell r="Q29" t="str">
            <v>circuits</v>
          </cell>
          <cell r="R29">
            <v>268.95415848068109</v>
          </cell>
        </row>
        <row r="30">
          <cell r="C30" t="str">
            <v>CO470</v>
          </cell>
          <cell r="D30" t="str">
            <v>CR470</v>
          </cell>
          <cell r="E30" t="str">
            <v>Intra Building Circuit (IBC) rental</v>
          </cell>
          <cell r="G30" t="str">
            <v/>
          </cell>
          <cell r="H30">
            <v>5</v>
          </cell>
          <cell r="I30">
            <v>0</v>
          </cell>
          <cell r="J30">
            <v>0</v>
          </cell>
          <cell r="K30">
            <v>5</v>
          </cell>
          <cell r="L30">
            <v>10</v>
          </cell>
          <cell r="M30">
            <v>9.6999999999999993</v>
          </cell>
          <cell r="N30">
            <v>1</v>
          </cell>
          <cell r="O30">
            <v>6</v>
          </cell>
          <cell r="P30">
            <v>72314</v>
          </cell>
          <cell r="Q30" t="str">
            <v>circuits</v>
          </cell>
          <cell r="R30">
            <v>88.897599358353844</v>
          </cell>
        </row>
        <row r="31">
          <cell r="C31" t="str">
            <v>CO371</v>
          </cell>
          <cell r="D31" t="str">
            <v>CR371</v>
          </cell>
          <cell r="E31" t="str">
            <v>PC rental 2Mbit/s link per km distribution</v>
          </cell>
          <cell r="G31" t="str">
            <v/>
          </cell>
          <cell r="H31">
            <v>49</v>
          </cell>
          <cell r="I31">
            <v>0</v>
          </cell>
          <cell r="J31">
            <v>-8</v>
          </cell>
          <cell r="K31">
            <v>41</v>
          </cell>
          <cell r="L31">
            <v>213</v>
          </cell>
          <cell r="M31">
            <v>9.6999999999999993</v>
          </cell>
          <cell r="N31">
            <v>21</v>
          </cell>
          <cell r="O31">
            <v>62</v>
          </cell>
          <cell r="P31">
            <v>2216889</v>
          </cell>
          <cell r="Q31" t="str">
            <v>km</v>
          </cell>
          <cell r="R31">
            <v>28.053529067084551</v>
          </cell>
        </row>
        <row r="32">
          <cell r="C32" t="str">
            <v>CO372</v>
          </cell>
          <cell r="D32" t="str">
            <v>CO372</v>
          </cell>
          <cell r="E32" t="str">
            <v>PC rental 2Mbit/s link per km trunk</v>
          </cell>
          <cell r="G32" t="str">
            <v/>
          </cell>
          <cell r="H32">
            <v>16</v>
          </cell>
          <cell r="I32">
            <v>0</v>
          </cell>
          <cell r="J32">
            <v>-4</v>
          </cell>
          <cell r="K32">
            <v>12</v>
          </cell>
          <cell r="L32">
            <v>82</v>
          </cell>
          <cell r="M32">
            <v>9.6999999999999993</v>
          </cell>
          <cell r="N32">
            <v>8</v>
          </cell>
          <cell r="O32">
            <v>20</v>
          </cell>
          <cell r="P32">
            <v>1516111</v>
          </cell>
          <cell r="Q32" t="str">
            <v>km</v>
          </cell>
          <cell r="R32">
            <v>13.510786479354085</v>
          </cell>
        </row>
        <row r="33">
          <cell r="C33" t="str">
            <v>CO373</v>
          </cell>
          <cell r="D33" t="str">
            <v>CR373</v>
          </cell>
          <cell r="E33" t="str">
            <v>PC rental 34Mbit/s link per km distribution</v>
          </cell>
          <cell r="G33" t="str">
            <v/>
          </cell>
          <cell r="H33">
            <v>7</v>
          </cell>
          <cell r="I33">
            <v>0</v>
          </cell>
          <cell r="J33">
            <v>-1</v>
          </cell>
          <cell r="K33">
            <v>6</v>
          </cell>
          <cell r="L33">
            <v>28</v>
          </cell>
          <cell r="M33">
            <v>9.6999999999999993</v>
          </cell>
          <cell r="N33">
            <v>3</v>
          </cell>
          <cell r="O33">
            <v>9</v>
          </cell>
          <cell r="P33">
            <v>39625</v>
          </cell>
          <cell r="Q33" t="str">
            <v>km</v>
          </cell>
          <cell r="R33">
            <v>219.30177917981072</v>
          </cell>
        </row>
        <row r="34">
          <cell r="C34" t="str">
            <v>CO374</v>
          </cell>
          <cell r="D34" t="str">
            <v>CO374</v>
          </cell>
          <cell r="E34" t="str">
            <v>PC rental 34Mbit/s link per km trunk</v>
          </cell>
          <cell r="G34" t="str">
            <v/>
          </cell>
          <cell r="H34">
            <v>5</v>
          </cell>
          <cell r="I34">
            <v>0</v>
          </cell>
          <cell r="J34">
            <v>-1</v>
          </cell>
          <cell r="K34">
            <v>4</v>
          </cell>
          <cell r="L34">
            <v>25</v>
          </cell>
          <cell r="M34">
            <v>9.6999999999999993</v>
          </cell>
          <cell r="N34">
            <v>2</v>
          </cell>
          <cell r="O34">
            <v>6</v>
          </cell>
          <cell r="P34">
            <v>59085</v>
          </cell>
          <cell r="Q34" t="str">
            <v>km</v>
          </cell>
          <cell r="R34">
            <v>110.67732927138867</v>
          </cell>
        </row>
        <row r="35">
          <cell r="C35" t="str">
            <v>CO375</v>
          </cell>
          <cell r="D35" t="str">
            <v>CR375</v>
          </cell>
          <cell r="E35" t="str">
            <v>PC rental 140Mbit/s link per km distribution</v>
          </cell>
          <cell r="G35" t="str">
            <v/>
          </cell>
          <cell r="H35">
            <v>7</v>
          </cell>
          <cell r="I35">
            <v>0</v>
          </cell>
          <cell r="J35">
            <v>-1</v>
          </cell>
          <cell r="K35">
            <v>6</v>
          </cell>
          <cell r="L35">
            <v>33</v>
          </cell>
          <cell r="M35">
            <v>9.6999999999999993</v>
          </cell>
          <cell r="N35">
            <v>3</v>
          </cell>
          <cell r="O35">
            <v>9</v>
          </cell>
          <cell r="P35">
            <v>21549</v>
          </cell>
          <cell r="Q35" t="str">
            <v>km</v>
          </cell>
          <cell r="R35">
            <v>429.89266323263263</v>
          </cell>
        </row>
        <row r="36">
          <cell r="C36" t="str">
            <v>CO376</v>
          </cell>
          <cell r="D36" t="str">
            <v>CO376</v>
          </cell>
          <cell r="E36" t="str">
            <v>PC rental 140Mbit/s link per km trunk</v>
          </cell>
          <cell r="G36" t="str">
            <v/>
          </cell>
          <cell r="H36">
            <v>6</v>
          </cell>
          <cell r="I36">
            <v>0</v>
          </cell>
          <cell r="J36">
            <v>-2</v>
          </cell>
          <cell r="K36">
            <v>4</v>
          </cell>
          <cell r="L36">
            <v>33</v>
          </cell>
          <cell r="M36">
            <v>9.6999999999999993</v>
          </cell>
          <cell r="N36">
            <v>3</v>
          </cell>
          <cell r="O36">
            <v>7</v>
          </cell>
          <cell r="P36">
            <v>46375</v>
          </cell>
          <cell r="Q36" t="str">
            <v>km</v>
          </cell>
          <cell r="R36">
            <v>169.50192991913747</v>
          </cell>
        </row>
        <row r="37">
          <cell r="C37" t="str">
            <v>CO378</v>
          </cell>
          <cell r="D37" t="str">
            <v>CO378</v>
          </cell>
          <cell r="E37" t="str">
            <v>PC rental 622Mbit/s link per km trunk</v>
          </cell>
          <cell r="G37" t="str">
            <v/>
          </cell>
          <cell r="H37">
            <v>8</v>
          </cell>
          <cell r="I37">
            <v>0</v>
          </cell>
          <cell r="J37">
            <v>-2</v>
          </cell>
          <cell r="K37">
            <v>6</v>
          </cell>
          <cell r="L37">
            <v>43</v>
          </cell>
          <cell r="M37">
            <v>9.6999999999999993</v>
          </cell>
          <cell r="N37">
            <v>4</v>
          </cell>
          <cell r="O37">
            <v>10</v>
          </cell>
          <cell r="P37">
            <v>10871</v>
          </cell>
          <cell r="Q37" t="str">
            <v>km</v>
          </cell>
          <cell r="R37">
            <v>929.70343114708862</v>
          </cell>
        </row>
        <row r="38">
          <cell r="C38" t="str">
            <v>CO379</v>
          </cell>
          <cell r="D38" t="str">
            <v>CO379</v>
          </cell>
          <cell r="E38" t="str">
            <v>Point of Handover electronics</v>
          </cell>
          <cell r="G38" t="str">
            <v/>
          </cell>
          <cell r="H38">
            <v>3</v>
          </cell>
          <cell r="I38">
            <v>0</v>
          </cell>
          <cell r="J38">
            <v>0</v>
          </cell>
          <cell r="K38">
            <v>3</v>
          </cell>
          <cell r="L38">
            <v>3</v>
          </cell>
          <cell r="M38">
            <v>9.6999999999999993</v>
          </cell>
          <cell r="N38">
            <v>0</v>
          </cell>
          <cell r="O38">
            <v>3</v>
          </cell>
          <cell r="P38">
            <v>2799051</v>
          </cell>
          <cell r="Q38" t="str">
            <v>eq</v>
          </cell>
          <cell r="R38">
            <v>0.94397994177312239</v>
          </cell>
        </row>
        <row r="39">
          <cell r="C39" t="str">
            <v>CO381</v>
          </cell>
          <cell r="D39" t="str">
            <v>CR381</v>
          </cell>
          <cell r="E39" t="str">
            <v>PC rental 64kbit/s link</v>
          </cell>
          <cell r="G39" t="str">
            <v/>
          </cell>
          <cell r="H39">
            <v>32</v>
          </cell>
          <cell r="I39">
            <v>-1</v>
          </cell>
          <cell r="J39">
            <v>0</v>
          </cell>
          <cell r="K39">
            <v>31</v>
          </cell>
          <cell r="L39">
            <v>39</v>
          </cell>
          <cell r="M39">
            <v>9.6999999999999993</v>
          </cell>
          <cell r="N39">
            <v>4</v>
          </cell>
          <cell r="O39">
            <v>35</v>
          </cell>
          <cell r="P39">
            <v>256537</v>
          </cell>
          <cell r="Q39" t="str">
            <v>links</v>
          </cell>
          <cell r="R39">
            <v>135.31822310232053</v>
          </cell>
        </row>
        <row r="40">
          <cell r="C40" t="str">
            <v>CO383</v>
          </cell>
          <cell r="D40" t="str">
            <v>CR383</v>
          </cell>
          <cell r="E40" t="str">
            <v>PC rental 2Mbit/s link</v>
          </cell>
          <cell r="G40" t="str">
            <v/>
          </cell>
          <cell r="H40">
            <v>22</v>
          </cell>
          <cell r="I40">
            <v>-1</v>
          </cell>
          <cell r="J40">
            <v>0</v>
          </cell>
          <cell r="K40">
            <v>21</v>
          </cell>
          <cell r="L40">
            <v>41</v>
          </cell>
          <cell r="M40">
            <v>9.6999999999999993</v>
          </cell>
          <cell r="N40">
            <v>4</v>
          </cell>
          <cell r="O40">
            <v>25</v>
          </cell>
          <cell r="P40">
            <v>172077</v>
          </cell>
          <cell r="Q40" t="str">
            <v>links</v>
          </cell>
          <cell r="R40">
            <v>147.41586034159127</v>
          </cell>
        </row>
        <row r="41">
          <cell r="C41" t="str">
            <v>CO385</v>
          </cell>
          <cell r="D41" t="str">
            <v>CR385</v>
          </cell>
          <cell r="E41" t="str">
            <v>PC rental 34Mbit/s link</v>
          </cell>
          <cell r="G41" t="str">
            <v/>
          </cell>
          <cell r="H41">
            <v>2</v>
          </cell>
          <cell r="I41">
            <v>0</v>
          </cell>
          <cell r="J41">
            <v>0</v>
          </cell>
          <cell r="K41">
            <v>2</v>
          </cell>
          <cell r="L41">
            <v>4</v>
          </cell>
          <cell r="M41">
            <v>9.6999999999999993</v>
          </cell>
          <cell r="N41">
            <v>0</v>
          </cell>
          <cell r="O41">
            <v>2</v>
          </cell>
          <cell r="P41">
            <v>2137</v>
          </cell>
          <cell r="Q41" t="str">
            <v>links</v>
          </cell>
          <cell r="R41">
            <v>1017.254094525035</v>
          </cell>
        </row>
        <row r="42">
          <cell r="C42" t="str">
            <v>CO388</v>
          </cell>
          <cell r="D42" t="str">
            <v>CR388</v>
          </cell>
          <cell r="E42" t="str">
            <v>PC rental 140Mbit/s link</v>
          </cell>
          <cell r="G42" t="str">
            <v/>
          </cell>
          <cell r="H42">
            <v>4</v>
          </cell>
          <cell r="I42">
            <v>0</v>
          </cell>
          <cell r="J42">
            <v>0</v>
          </cell>
          <cell r="K42">
            <v>4</v>
          </cell>
          <cell r="L42">
            <v>8</v>
          </cell>
          <cell r="M42">
            <v>9.6999999999999993</v>
          </cell>
          <cell r="N42">
            <v>1</v>
          </cell>
          <cell r="O42">
            <v>5</v>
          </cell>
          <cell r="P42">
            <v>1042</v>
          </cell>
          <cell r="Q42" t="str">
            <v>links</v>
          </cell>
          <cell r="R42">
            <v>4416.4731285988482</v>
          </cell>
        </row>
        <row r="43">
          <cell r="C43" t="str">
            <v>CO391</v>
          </cell>
          <cell r="D43" t="str">
            <v>CR391</v>
          </cell>
          <cell r="E43" t="str">
            <v>PC rental 64kbit/s link per km transmission</v>
          </cell>
          <cell r="G43" t="str">
            <v/>
          </cell>
          <cell r="H43">
            <v>15</v>
          </cell>
          <cell r="I43">
            <v>2</v>
          </cell>
          <cell r="J43">
            <v>-7</v>
          </cell>
          <cell r="K43">
            <v>10</v>
          </cell>
          <cell r="L43">
            <v>130</v>
          </cell>
          <cell r="M43">
            <v>9.6999999999999993</v>
          </cell>
          <cell r="N43">
            <v>13</v>
          </cell>
          <cell r="O43">
            <v>23</v>
          </cell>
          <cell r="P43">
            <v>7603970</v>
          </cell>
          <cell r="Q43" t="str">
            <v>km</v>
          </cell>
          <cell r="R43">
            <v>3.0382414712314749</v>
          </cell>
        </row>
        <row r="44">
          <cell r="C44" t="str">
            <v>CO417</v>
          </cell>
          <cell r="D44" t="str">
            <v>CO417</v>
          </cell>
          <cell r="E44" t="str">
            <v>64kbit/s PC link connection cct provision</v>
          </cell>
          <cell r="G44" t="str">
            <v/>
          </cell>
          <cell r="H44">
            <v>1</v>
          </cell>
          <cell r="I44">
            <v>0</v>
          </cell>
          <cell r="J44">
            <v>0</v>
          </cell>
          <cell r="K44">
            <v>1</v>
          </cell>
          <cell r="L44">
            <v>0</v>
          </cell>
          <cell r="M44">
            <v>9.6999999999999993</v>
          </cell>
          <cell r="N44">
            <v>0</v>
          </cell>
          <cell r="O44">
            <v>1</v>
          </cell>
          <cell r="P44">
            <v>847</v>
          </cell>
          <cell r="Q44" t="str">
            <v>circuits</v>
          </cell>
          <cell r="R44">
            <v>1956.9362455726091</v>
          </cell>
        </row>
        <row r="45">
          <cell r="C45" t="str">
            <v>CO413</v>
          </cell>
          <cell r="D45" t="str">
            <v>CO413</v>
          </cell>
          <cell r="E45" t="str">
            <v>2Mbit/s and above PC link connection cct provision</v>
          </cell>
          <cell r="G45" t="str">
            <v/>
          </cell>
          <cell r="H45">
            <v>45</v>
          </cell>
          <cell r="I45">
            <v>0</v>
          </cell>
          <cell r="J45">
            <v>0</v>
          </cell>
          <cell r="K45">
            <v>45</v>
          </cell>
          <cell r="L45">
            <v>10</v>
          </cell>
          <cell r="M45">
            <v>9.6999999999999993</v>
          </cell>
          <cell r="N45">
            <v>1</v>
          </cell>
          <cell r="O45">
            <v>46</v>
          </cell>
          <cell r="P45">
            <v>11707</v>
          </cell>
          <cell r="Q45" t="str">
            <v>circuits</v>
          </cell>
          <cell r="R45">
            <v>3948.2128640984029</v>
          </cell>
        </row>
        <row r="46">
          <cell r="C46" t="str">
            <v>CO432</v>
          </cell>
          <cell r="D46" t="str">
            <v>CO432</v>
          </cell>
          <cell r="E46" t="str">
            <v>PC rental 64kbit/s link local end</v>
          </cell>
          <cell r="G46" t="str">
            <v/>
          </cell>
          <cell r="H46">
            <v>20</v>
          </cell>
          <cell r="I46">
            <v>0</v>
          </cell>
          <cell r="J46">
            <v>0</v>
          </cell>
          <cell r="K46">
            <v>20</v>
          </cell>
          <cell r="L46">
            <v>30</v>
          </cell>
          <cell r="M46">
            <v>9.6999999999999993</v>
          </cell>
          <cell r="N46">
            <v>3</v>
          </cell>
          <cell r="O46">
            <v>23</v>
          </cell>
          <cell r="P46">
            <v>69187</v>
          </cell>
          <cell r="Q46" t="str">
            <v>le</v>
          </cell>
          <cell r="R46">
            <v>332.82381083151461</v>
          </cell>
        </row>
        <row r="47">
          <cell r="C47" t="str">
            <v>CO434</v>
          </cell>
          <cell r="D47" t="str">
            <v>CO434</v>
          </cell>
          <cell r="E47" t="str">
            <v>PC rental 34Mbit/s link local end</v>
          </cell>
          <cell r="G47" t="str">
            <v/>
          </cell>
          <cell r="H47">
            <v>10</v>
          </cell>
          <cell r="I47">
            <v>-1</v>
          </cell>
          <cell r="J47">
            <v>3</v>
          </cell>
          <cell r="K47">
            <v>12</v>
          </cell>
          <cell r="L47">
            <v>33</v>
          </cell>
          <cell r="M47">
            <v>9.6999999999999993</v>
          </cell>
          <cell r="N47">
            <v>3</v>
          </cell>
          <cell r="O47">
            <v>15</v>
          </cell>
          <cell r="P47">
            <v>3083</v>
          </cell>
          <cell r="Q47" t="str">
            <v>le</v>
          </cell>
          <cell r="R47">
            <v>5076.282841388258</v>
          </cell>
        </row>
        <row r="48">
          <cell r="C48" t="str">
            <v>CO436</v>
          </cell>
          <cell r="D48" t="str">
            <v>CO436</v>
          </cell>
          <cell r="E48" t="str">
            <v>PC rental 140Mbit/s link local end</v>
          </cell>
          <cell r="G48" t="str">
            <v/>
          </cell>
          <cell r="H48">
            <v>8</v>
          </cell>
          <cell r="I48">
            <v>-1</v>
          </cell>
          <cell r="J48">
            <v>1</v>
          </cell>
          <cell r="K48">
            <v>8</v>
          </cell>
          <cell r="L48">
            <v>19</v>
          </cell>
          <cell r="M48">
            <v>9.6999999999999993</v>
          </cell>
          <cell r="N48">
            <v>2</v>
          </cell>
          <cell r="O48">
            <v>10</v>
          </cell>
          <cell r="P48">
            <v>1508</v>
          </cell>
          <cell r="Q48" t="str">
            <v>le</v>
          </cell>
          <cell r="R48">
            <v>6898.4423076923076</v>
          </cell>
        </row>
        <row r="49">
          <cell r="C49" t="str">
            <v>CO438</v>
          </cell>
          <cell r="D49" t="str">
            <v>CO438</v>
          </cell>
          <cell r="E49" t="str">
            <v>PC rental 2Mbit/s local end copper</v>
          </cell>
          <cell r="G49" t="str">
            <v/>
          </cell>
          <cell r="H49">
            <v>11</v>
          </cell>
          <cell r="I49">
            <v>0</v>
          </cell>
          <cell r="J49">
            <v>0</v>
          </cell>
          <cell r="K49">
            <v>11</v>
          </cell>
          <cell r="L49">
            <v>6</v>
          </cell>
          <cell r="M49">
            <v>9.6999999999999993</v>
          </cell>
          <cell r="N49">
            <v>1</v>
          </cell>
          <cell r="O49">
            <v>12</v>
          </cell>
          <cell r="P49">
            <v>29684</v>
          </cell>
          <cell r="Q49" t="str">
            <v>le</v>
          </cell>
          <cell r="R49">
            <v>378.21718771055112</v>
          </cell>
        </row>
        <row r="50">
          <cell r="C50" t="str">
            <v>CO439</v>
          </cell>
          <cell r="D50" t="str">
            <v>CO439</v>
          </cell>
          <cell r="E50" t="str">
            <v>PC rental 2Mbit/s local end fibre</v>
          </cell>
          <cell r="G50" t="str">
            <v/>
          </cell>
          <cell r="H50">
            <v>113</v>
          </cell>
          <cell r="I50">
            <v>-4</v>
          </cell>
          <cell r="J50">
            <v>30</v>
          </cell>
          <cell r="K50">
            <v>139</v>
          </cell>
          <cell r="L50">
            <v>294</v>
          </cell>
          <cell r="M50">
            <v>9.6999999999999993</v>
          </cell>
          <cell r="N50">
            <v>29</v>
          </cell>
          <cell r="O50">
            <v>168</v>
          </cell>
          <cell r="P50">
            <v>189374</v>
          </cell>
          <cell r="Q50" t="str">
            <v>le</v>
          </cell>
          <cell r="R50">
            <v>885.79454412960592</v>
          </cell>
        </row>
        <row r="51">
          <cell r="C51" t="str">
            <v>CO448</v>
          </cell>
          <cell r="D51" t="str">
            <v>CO448</v>
          </cell>
          <cell r="E51" t="str">
            <v>Wholesale &amp; LAN extension services electronics</v>
          </cell>
          <cell r="G51" t="str">
            <v/>
          </cell>
          <cell r="H51">
            <v>87</v>
          </cell>
          <cell r="I51">
            <v>0</v>
          </cell>
          <cell r="J51">
            <v>0</v>
          </cell>
          <cell r="K51">
            <v>87</v>
          </cell>
          <cell r="L51">
            <v>143</v>
          </cell>
          <cell r="M51">
            <v>9.6999999999999993</v>
          </cell>
          <cell r="N51">
            <v>14</v>
          </cell>
          <cell r="O51">
            <v>101</v>
          </cell>
          <cell r="P51">
            <v>132168</v>
          </cell>
          <cell r="Q51" t="str">
            <v>le</v>
          </cell>
          <cell r="R51">
            <v>760.73546546819205</v>
          </cell>
        </row>
        <row r="52">
          <cell r="C52" t="str">
            <v>CO450</v>
          </cell>
          <cell r="D52" t="str">
            <v>CO450</v>
          </cell>
          <cell r="E52" t="str">
            <v>Wholesale &amp; LAN extension services fibre etc</v>
          </cell>
          <cell r="G52" t="str">
            <v/>
          </cell>
          <cell r="H52">
            <v>241</v>
          </cell>
          <cell r="I52">
            <v>-8</v>
          </cell>
          <cell r="J52">
            <v>75</v>
          </cell>
          <cell r="K52">
            <v>308</v>
          </cell>
          <cell r="L52">
            <v>731</v>
          </cell>
          <cell r="M52">
            <v>9.6999999999999993</v>
          </cell>
          <cell r="N52">
            <v>71</v>
          </cell>
          <cell r="O52">
            <v>379</v>
          </cell>
          <cell r="P52">
            <v>122631</v>
          </cell>
          <cell r="Q52" t="str">
            <v>le</v>
          </cell>
          <cell r="R52">
            <v>3080.3020035716909</v>
          </cell>
        </row>
        <row r="53">
          <cell r="C53" t="str">
            <v>CO449</v>
          </cell>
          <cell r="D53" t="str">
            <v>CO449</v>
          </cell>
          <cell r="E53" t="str">
            <v>Backhaul extension services electronics</v>
          </cell>
          <cell r="G53" t="str">
            <v/>
          </cell>
          <cell r="H53">
            <v>7</v>
          </cell>
          <cell r="I53">
            <v>0</v>
          </cell>
          <cell r="J53">
            <v>0</v>
          </cell>
          <cell r="K53">
            <v>7</v>
          </cell>
          <cell r="L53">
            <v>12</v>
          </cell>
          <cell r="M53">
            <v>9.6999999999999993</v>
          </cell>
          <cell r="N53">
            <v>1</v>
          </cell>
          <cell r="O53">
            <v>8</v>
          </cell>
          <cell r="P53">
            <v>23166</v>
          </cell>
          <cell r="Q53" t="str">
            <v>le</v>
          </cell>
          <cell r="R53">
            <v>364.08784425451091</v>
          </cell>
        </row>
        <row r="54">
          <cell r="C54" t="str">
            <v>CO447</v>
          </cell>
          <cell r="D54" t="str">
            <v>CO447</v>
          </cell>
          <cell r="E54" t="str">
            <v>Backhaul extension services fibre etc</v>
          </cell>
          <cell r="G54" t="str">
            <v/>
          </cell>
          <cell r="H54">
            <v>12</v>
          </cell>
          <cell r="I54">
            <v>-1</v>
          </cell>
          <cell r="J54">
            <v>5</v>
          </cell>
          <cell r="K54">
            <v>16</v>
          </cell>
          <cell r="L54">
            <v>38</v>
          </cell>
          <cell r="M54">
            <v>9.6999999999999993</v>
          </cell>
          <cell r="N54">
            <v>4</v>
          </cell>
          <cell r="O54">
            <v>20</v>
          </cell>
          <cell r="P54">
            <v>15336</v>
          </cell>
          <cell r="Q54" t="str">
            <v>le</v>
          </cell>
          <cell r="R54">
            <v>1360.2813641105895</v>
          </cell>
        </row>
        <row r="55">
          <cell r="C55" t="str">
            <v>CO484</v>
          </cell>
          <cell r="D55" t="str">
            <v>CO484</v>
          </cell>
          <cell r="E55" t="str">
            <v>Ethernet main links</v>
          </cell>
          <cell r="G55" t="str">
            <v/>
          </cell>
          <cell r="H55">
            <v>28</v>
          </cell>
          <cell r="I55">
            <v>6</v>
          </cell>
          <cell r="J55">
            <v>-17</v>
          </cell>
          <cell r="K55">
            <v>17</v>
          </cell>
          <cell r="L55">
            <v>352</v>
          </cell>
          <cell r="M55">
            <v>9.6999999999999993</v>
          </cell>
          <cell r="N55">
            <v>34</v>
          </cell>
          <cell r="O55">
            <v>51</v>
          </cell>
          <cell r="P55">
            <v>468781</v>
          </cell>
          <cell r="Q55" t="str">
            <v>fibre km</v>
          </cell>
          <cell r="R55">
            <v>110.37513892414582</v>
          </cell>
        </row>
        <row r="56">
          <cell r="C56" t="str">
            <v>CO505</v>
          </cell>
          <cell r="D56" t="str">
            <v>CO505</v>
          </cell>
          <cell r="E56" t="str">
            <v>SG &amp; A private circuits</v>
          </cell>
          <cell r="G56" t="str">
            <v/>
          </cell>
          <cell r="H56">
            <v>6</v>
          </cell>
          <cell r="I56">
            <v>0</v>
          </cell>
          <cell r="J56">
            <v>0</v>
          </cell>
          <cell r="K56">
            <v>6</v>
          </cell>
          <cell r="L56">
            <v>5</v>
          </cell>
          <cell r="M56">
            <v>9.6999999999999993</v>
          </cell>
          <cell r="N56">
            <v>1</v>
          </cell>
          <cell r="O56">
            <v>7</v>
          </cell>
          <cell r="P56" t="str">
            <v>(a)</v>
          </cell>
          <cell r="Q56" t="str">
            <v/>
          </cell>
          <cell r="R56" t="str">
            <v>(a)</v>
          </cell>
        </row>
        <row r="57">
          <cell r="C57" t="str">
            <v>CO506</v>
          </cell>
          <cell r="D57" t="str">
            <v>CO506</v>
          </cell>
          <cell r="E57" t="str">
            <v>SG &amp; A partial private circuits</v>
          </cell>
          <cell r="G57" t="str">
            <v/>
          </cell>
          <cell r="H57">
            <v>26</v>
          </cell>
          <cell r="I57">
            <v>0</v>
          </cell>
          <cell r="J57">
            <v>0</v>
          </cell>
          <cell r="K57">
            <v>26</v>
          </cell>
          <cell r="L57">
            <v>21</v>
          </cell>
          <cell r="M57">
            <v>9.6999999999999993</v>
          </cell>
          <cell r="N57">
            <v>2</v>
          </cell>
          <cell r="O57">
            <v>28</v>
          </cell>
          <cell r="P57" t="str">
            <v>(a)</v>
          </cell>
          <cell r="Q57" t="str">
            <v/>
          </cell>
          <cell r="R57" t="str">
            <v>(a)</v>
          </cell>
        </row>
        <row r="58">
          <cell r="C58" t="str">
            <v>CO941</v>
          </cell>
          <cell r="D58" t="str">
            <v>CO941</v>
          </cell>
          <cell r="E58" t="str">
            <v>National OA non chargeable</v>
          </cell>
          <cell r="G58" t="str">
            <v/>
          </cell>
          <cell r="H58">
            <v>0</v>
          </cell>
          <cell r="I58">
            <v>0</v>
          </cell>
          <cell r="J58">
            <v>0</v>
          </cell>
          <cell r="K58">
            <v>0</v>
          </cell>
          <cell r="L58">
            <v>1</v>
          </cell>
          <cell r="M58">
            <v>9.6999999999999993</v>
          </cell>
          <cell r="N58">
            <v>0</v>
          </cell>
          <cell r="O58">
            <v>0</v>
          </cell>
          <cell r="P58">
            <v>62258</v>
          </cell>
          <cell r="Q58" t="str">
            <v>mm</v>
          </cell>
          <cell r="R58">
            <v>-4.3511837836101387E-4</v>
          </cell>
        </row>
        <row r="60">
          <cell r="C60" t="str">
            <v>Enter footnote reference</v>
          </cell>
          <cell r="D60" t="str">
            <v>&gt;&gt;&gt;</v>
          </cell>
          <cell r="E60" t="str">
            <v>a</v>
          </cell>
          <cell r="F60" t="str">
            <v>This component is attributed on a % basis so no volume or unit cost is derivable.</v>
          </cell>
        </row>
        <row r="61">
          <cell r="C61" t="str">
            <v>Enter footnote reference</v>
          </cell>
          <cell r="D61" t="str">
            <v>&gt;&gt;&gt;</v>
          </cell>
          <cell r="E61" t="str">
            <v>b</v>
          </cell>
          <cell r="F61" t="str">
            <v>See glossary for volume unit descriptors.</v>
          </cell>
        </row>
        <row r="62">
          <cell r="C62" t="str">
            <v>Enter footnote reference</v>
          </cell>
          <cell r="D62" t="str">
            <v>&gt;&gt;&gt;</v>
          </cell>
          <cell r="E62" t="str">
            <v>c</v>
          </cell>
          <cell r="F62" t="str">
            <v>Unit of length is 10 kilometres.</v>
          </cell>
        </row>
        <row r="63">
          <cell r="C63" t="str">
            <v>Enter footnote reference</v>
          </cell>
          <cell r="D63" t="str">
            <v>&gt;&gt;&gt;</v>
          </cell>
          <cell r="E63" t="str">
            <v>h</v>
          </cell>
          <cell r="F63" t="str">
            <v>See Section 4 - Basis of Preparation.</v>
          </cell>
        </row>
        <row r="66">
          <cell r="E66" t="str">
            <v>Network Activity Statement - Consolidated 2012 (Annex 15) (continued)</v>
          </cell>
        </row>
        <row r="68">
          <cell r="E68" t="str">
            <v>For the year ended 31 March 2012</v>
          </cell>
        </row>
        <row r="69">
          <cell r="E69" t="str">
            <v>Network Activity Statement - Consolidated (this is a consolidation of all markets where there are cost accounting obligations)</v>
          </cell>
        </row>
        <row r="70">
          <cell r="C70" t="str">
            <v>SuperComp</v>
          </cell>
          <cell r="D70" t="str">
            <v>Lead comp</v>
          </cell>
          <cell r="E70" t="str">
            <v>Fully Allocated Cost (£m)</v>
          </cell>
          <cell r="G70" t="str">
            <v>Footnotes</v>
          </cell>
          <cell r="H70" t="str">
            <v>HCA operating cost</v>
          </cell>
          <cell r="I70" t="str">
            <v>Supplementary depreciation</v>
          </cell>
          <cell r="J70" t="str">
            <v>Holding gain and other CCA adjustments</v>
          </cell>
          <cell r="K70" t="str">
            <v>Total CCA operating costs</v>
          </cell>
          <cell r="L70" t="str">
            <v>CCA mean capital employed</v>
          </cell>
          <cell r="M70" t="str">
            <v xml:space="preserve">Applicable rate of return on capital % </v>
          </cell>
          <cell r="N70" t="str">
            <v>Capital costs</v>
          </cell>
          <cell r="O70" t="str">
            <v>Total of operating costs and capital costs relating to current year</v>
          </cell>
          <cell r="P70" t="str">
            <v>Volume (b)</v>
          </cell>
          <cell r="R70" t="str">
            <v>Average costs per unit on a current cost basis relating to current year</v>
          </cell>
        </row>
        <row r="72">
          <cell r="E72" t="str">
            <v>SMP Cost Accounting components</v>
          </cell>
        </row>
        <row r="74">
          <cell r="C74" t="str">
            <v>CO942</v>
          </cell>
          <cell r="D74" t="str">
            <v>CO942</v>
          </cell>
          <cell r="E74" t="str">
            <v>Emergency OA (999) non chargeable</v>
          </cell>
          <cell r="G74" t="str">
            <v/>
          </cell>
          <cell r="H74">
            <v>11</v>
          </cell>
          <cell r="I74">
            <v>0</v>
          </cell>
          <cell r="J74">
            <v>0</v>
          </cell>
          <cell r="K74">
            <v>11</v>
          </cell>
          <cell r="L74">
            <v>0</v>
          </cell>
          <cell r="M74">
            <v>9.6999999999999993</v>
          </cell>
          <cell r="N74">
            <v>0</v>
          </cell>
          <cell r="O74">
            <v>11</v>
          </cell>
          <cell r="P74">
            <v>73422</v>
          </cell>
          <cell r="Q74" t="str">
            <v>mm</v>
          </cell>
          <cell r="R74">
            <v>1.5278708016670752E-2</v>
          </cell>
        </row>
        <row r="75">
          <cell r="C75" t="str">
            <v>CL144</v>
          </cell>
          <cell r="D75" t="str">
            <v>CL144</v>
          </cell>
          <cell r="E75" t="str">
            <v>Wholesale Access specific</v>
          </cell>
          <cell r="G75" t="str">
            <v/>
          </cell>
          <cell r="H75">
            <v>3</v>
          </cell>
          <cell r="I75">
            <v>0</v>
          </cell>
          <cell r="J75">
            <v>0</v>
          </cell>
          <cell r="K75">
            <v>3</v>
          </cell>
          <cell r="L75">
            <v>10</v>
          </cell>
          <cell r="M75">
            <v>8.8000000000000007</v>
          </cell>
          <cell r="N75">
            <v>1</v>
          </cell>
          <cell r="O75">
            <v>4</v>
          </cell>
          <cell r="P75">
            <v>3268533</v>
          </cell>
          <cell r="Q75" t="str">
            <v>trans</v>
          </cell>
          <cell r="R75">
            <v>1.2864615410032574</v>
          </cell>
        </row>
        <row r="76">
          <cell r="C76" t="str">
            <v>CL160</v>
          </cell>
          <cell r="D76" t="str">
            <v>CL160</v>
          </cell>
          <cell r="E76" t="str">
            <v>Routeing &amp; records</v>
          </cell>
          <cell r="G76" t="str">
            <v/>
          </cell>
          <cell r="H76">
            <v>16</v>
          </cell>
          <cell r="I76">
            <v>0</v>
          </cell>
          <cell r="J76">
            <v>0</v>
          </cell>
          <cell r="K76">
            <v>16</v>
          </cell>
          <cell r="L76">
            <v>1</v>
          </cell>
          <cell r="M76">
            <v>8.8010000000000002</v>
          </cell>
          <cell r="N76">
            <v>0</v>
          </cell>
          <cell r="O76">
            <v>16</v>
          </cell>
          <cell r="P76">
            <v>2653833</v>
          </cell>
          <cell r="Q76" t="str">
            <v>lines</v>
          </cell>
          <cell r="R76">
            <v>6.0956201840884487</v>
          </cell>
        </row>
        <row r="77">
          <cell r="C77" t="str">
            <v>CL161</v>
          </cell>
          <cell r="D77" t="str">
            <v>CL161</v>
          </cell>
          <cell r="E77" t="str">
            <v>MDF Hardware jumpering</v>
          </cell>
          <cell r="G77" t="str">
            <v/>
          </cell>
          <cell r="H77">
            <v>229</v>
          </cell>
          <cell r="I77">
            <v>0</v>
          </cell>
          <cell r="J77">
            <v>0</v>
          </cell>
          <cell r="K77">
            <v>229</v>
          </cell>
          <cell r="L77">
            <v>6</v>
          </cell>
          <cell r="M77">
            <v>8.8010000000000002</v>
          </cell>
          <cell r="N77">
            <v>1</v>
          </cell>
          <cell r="O77">
            <v>230</v>
          </cell>
          <cell r="P77">
            <v>10769017</v>
          </cell>
          <cell r="Q77" t="str">
            <v>lines</v>
          </cell>
          <cell r="R77">
            <v>21.280449645496891</v>
          </cell>
        </row>
        <row r="78">
          <cell r="C78" t="str">
            <v>CL162</v>
          </cell>
          <cell r="D78" t="str">
            <v>CL162</v>
          </cell>
          <cell r="E78" t="str">
            <v>Software jumpering</v>
          </cell>
          <cell r="G78" t="str">
            <v/>
          </cell>
          <cell r="H78">
            <v>0</v>
          </cell>
          <cell r="I78">
            <v>0</v>
          </cell>
          <cell r="J78">
            <v>0</v>
          </cell>
          <cell r="K78">
            <v>0</v>
          </cell>
          <cell r="L78">
            <v>0</v>
          </cell>
          <cell r="M78">
            <v>8.8010000000000002</v>
          </cell>
          <cell r="N78">
            <v>0</v>
          </cell>
          <cell r="O78">
            <v>0</v>
          </cell>
          <cell r="P78">
            <v>11223715</v>
          </cell>
          <cell r="Q78" t="str">
            <v>lines</v>
          </cell>
          <cell r="R78">
            <v>3.997785047107843E-3</v>
          </cell>
        </row>
        <row r="79">
          <cell r="C79" t="str">
            <v>CL171</v>
          </cell>
          <cell r="D79" t="str">
            <v>CL171</v>
          </cell>
          <cell r="E79" t="str">
            <v>E side copper capital</v>
          </cell>
          <cell r="G79" t="str">
            <v/>
          </cell>
          <cell r="H79">
            <v>131</v>
          </cell>
          <cell r="I79">
            <v>23</v>
          </cell>
          <cell r="J79">
            <v>-25</v>
          </cell>
          <cell r="K79">
            <v>129</v>
          </cell>
          <cell r="L79">
            <v>863</v>
          </cell>
          <cell r="M79">
            <v>8.8000000000000007</v>
          </cell>
          <cell r="N79">
            <v>76</v>
          </cell>
          <cell r="O79">
            <v>205</v>
          </cell>
          <cell r="P79">
            <v>25110634</v>
          </cell>
          <cell r="Q79" t="str">
            <v>lines</v>
          </cell>
          <cell r="R79">
            <v>8.1777033188409334</v>
          </cell>
        </row>
        <row r="80">
          <cell r="C80" t="str">
            <v>CL172</v>
          </cell>
          <cell r="D80" t="str">
            <v>CL172</v>
          </cell>
          <cell r="E80" t="str">
            <v>E side copper current</v>
          </cell>
          <cell r="G80" t="str">
            <v/>
          </cell>
          <cell r="H80">
            <v>60</v>
          </cell>
          <cell r="I80">
            <v>0</v>
          </cell>
          <cell r="J80">
            <v>0</v>
          </cell>
          <cell r="K80">
            <v>60</v>
          </cell>
          <cell r="L80">
            <v>4</v>
          </cell>
          <cell r="M80">
            <v>8.8089999999999993</v>
          </cell>
          <cell r="N80">
            <v>0</v>
          </cell>
          <cell r="O80">
            <v>60</v>
          </cell>
          <cell r="P80">
            <v>29616293</v>
          </cell>
          <cell r="Q80" t="str">
            <v>lines</v>
          </cell>
          <cell r="R80">
            <v>2.0383794825368589</v>
          </cell>
        </row>
        <row r="81">
          <cell r="C81" t="str">
            <v>CL173</v>
          </cell>
          <cell r="D81" t="str">
            <v>CL173</v>
          </cell>
          <cell r="E81" t="str">
            <v>D side copper capital</v>
          </cell>
          <cell r="G81" t="str">
            <v/>
          </cell>
          <cell r="H81">
            <v>608</v>
          </cell>
          <cell r="I81">
            <v>192</v>
          </cell>
          <cell r="J81">
            <v>-82</v>
          </cell>
          <cell r="K81">
            <v>718</v>
          </cell>
          <cell r="L81">
            <v>6655</v>
          </cell>
          <cell r="M81">
            <v>8.8000000000000007</v>
          </cell>
          <cell r="N81">
            <v>586</v>
          </cell>
          <cell r="O81">
            <v>1304</v>
          </cell>
          <cell r="P81">
            <v>25110161</v>
          </cell>
          <cell r="Q81" t="str">
            <v>lines</v>
          </cell>
          <cell r="R81">
            <v>51.937713899962645</v>
          </cell>
        </row>
        <row r="82">
          <cell r="C82" t="str">
            <v>CL174</v>
          </cell>
          <cell r="D82" t="str">
            <v>CL174</v>
          </cell>
          <cell r="E82" t="str">
            <v>D side copper current</v>
          </cell>
          <cell r="G82" t="str">
            <v/>
          </cell>
          <cell r="H82">
            <v>191</v>
          </cell>
          <cell r="I82">
            <v>0</v>
          </cell>
          <cell r="J82">
            <v>0</v>
          </cell>
          <cell r="K82">
            <v>191</v>
          </cell>
          <cell r="L82">
            <v>11</v>
          </cell>
          <cell r="M82">
            <v>8.8000000000000007</v>
          </cell>
          <cell r="N82">
            <v>1</v>
          </cell>
          <cell r="O82">
            <v>192</v>
          </cell>
          <cell r="P82">
            <v>29616293</v>
          </cell>
          <cell r="Q82" t="str">
            <v>lines</v>
          </cell>
          <cell r="R82">
            <v>6.4810829295887906</v>
          </cell>
        </row>
        <row r="83">
          <cell r="C83" t="str">
            <v>CL175</v>
          </cell>
          <cell r="D83" t="str">
            <v>CL175</v>
          </cell>
          <cell r="E83" t="str">
            <v>Local exchanges general frames capital</v>
          </cell>
          <cell r="G83" t="str">
            <v/>
          </cell>
          <cell r="H83">
            <v>66</v>
          </cell>
          <cell r="I83">
            <v>0</v>
          </cell>
          <cell r="J83">
            <v>0</v>
          </cell>
          <cell r="K83">
            <v>66</v>
          </cell>
          <cell r="L83">
            <v>38</v>
          </cell>
          <cell r="M83">
            <v>8.8000000000000007</v>
          </cell>
          <cell r="N83">
            <v>3</v>
          </cell>
          <cell r="O83">
            <v>69</v>
          </cell>
          <cell r="P83">
            <v>40883824</v>
          </cell>
          <cell r="Q83" t="str">
            <v>lines</v>
          </cell>
          <cell r="R83">
            <v>1.7064962416431497</v>
          </cell>
        </row>
        <row r="84">
          <cell r="C84" t="str">
            <v>CL176</v>
          </cell>
          <cell r="D84" t="str">
            <v>CL176</v>
          </cell>
          <cell r="E84" t="str">
            <v>Local exchanges general frames current</v>
          </cell>
          <cell r="G84" t="str">
            <v/>
          </cell>
          <cell r="H84">
            <v>47</v>
          </cell>
          <cell r="I84">
            <v>0</v>
          </cell>
          <cell r="J84">
            <v>0</v>
          </cell>
          <cell r="K84">
            <v>47</v>
          </cell>
          <cell r="L84">
            <v>3</v>
          </cell>
          <cell r="M84">
            <v>8.8000000000000007</v>
          </cell>
          <cell r="N84">
            <v>0</v>
          </cell>
          <cell r="O84">
            <v>47</v>
          </cell>
          <cell r="P84">
            <v>40769548</v>
          </cell>
          <cell r="Q84" t="str">
            <v>lines</v>
          </cell>
          <cell r="R84">
            <v>1.1682968376298899</v>
          </cell>
        </row>
        <row r="85">
          <cell r="C85" t="str">
            <v>CL177</v>
          </cell>
          <cell r="D85" t="str">
            <v>CL177</v>
          </cell>
          <cell r="E85" t="str">
            <v>PSTN line test equipment</v>
          </cell>
          <cell r="G85" t="str">
            <v/>
          </cell>
          <cell r="H85">
            <v>3</v>
          </cell>
          <cell r="I85">
            <v>0</v>
          </cell>
          <cell r="J85">
            <v>0</v>
          </cell>
          <cell r="K85">
            <v>3</v>
          </cell>
          <cell r="L85">
            <v>10</v>
          </cell>
          <cell r="M85">
            <v>8.8000000000000007</v>
          </cell>
          <cell r="N85">
            <v>1</v>
          </cell>
          <cell r="O85">
            <v>4</v>
          </cell>
          <cell r="P85">
            <v>25387700</v>
          </cell>
          <cell r="Q85" t="str">
            <v>lines</v>
          </cell>
          <cell r="R85">
            <v>0.16767615813957151</v>
          </cell>
        </row>
        <row r="86">
          <cell r="C86" t="str">
            <v>CL178</v>
          </cell>
          <cell r="D86" t="str">
            <v>CL178</v>
          </cell>
          <cell r="E86" t="str">
            <v>Dropwire capital &amp; PSTN NTE</v>
          </cell>
          <cell r="G86" t="str">
            <v/>
          </cell>
          <cell r="H86">
            <v>337</v>
          </cell>
          <cell r="I86">
            <v>38</v>
          </cell>
          <cell r="J86">
            <v>-12</v>
          </cell>
          <cell r="K86">
            <v>363</v>
          </cell>
          <cell r="L86">
            <v>1061</v>
          </cell>
          <cell r="M86">
            <v>8.8000000000000007</v>
          </cell>
          <cell r="N86">
            <v>93</v>
          </cell>
          <cell r="O86">
            <v>456</v>
          </cell>
          <cell r="P86">
            <v>24905902</v>
          </cell>
          <cell r="Q86" t="str">
            <v>lines</v>
          </cell>
          <cell r="R86">
            <v>18.327660367410104</v>
          </cell>
        </row>
        <row r="87">
          <cell r="C87" t="str">
            <v>CL180</v>
          </cell>
          <cell r="D87" t="str">
            <v>CL180</v>
          </cell>
          <cell r="E87" t="str">
            <v>Residential PSTN drop maintenance</v>
          </cell>
          <cell r="G87" t="str">
            <v/>
          </cell>
          <cell r="H87">
            <v>109</v>
          </cell>
          <cell r="I87">
            <v>0</v>
          </cell>
          <cell r="J87">
            <v>0</v>
          </cell>
          <cell r="K87">
            <v>109</v>
          </cell>
          <cell r="L87">
            <v>6</v>
          </cell>
          <cell r="M87">
            <v>8.8040000000000003</v>
          </cell>
          <cell r="N87">
            <v>1</v>
          </cell>
          <cell r="O87">
            <v>110</v>
          </cell>
          <cell r="P87">
            <v>24335749</v>
          </cell>
          <cell r="Q87" t="str">
            <v>lines</v>
          </cell>
          <cell r="R87">
            <v>4.5109857929583344</v>
          </cell>
        </row>
        <row r="88">
          <cell r="C88" t="str">
            <v>CL181</v>
          </cell>
          <cell r="D88" t="str">
            <v>CL181</v>
          </cell>
          <cell r="E88" t="str">
            <v>ISDN2 drop maintenance</v>
          </cell>
          <cell r="G88" t="str">
            <v/>
          </cell>
          <cell r="H88">
            <v>3</v>
          </cell>
          <cell r="I88">
            <v>0</v>
          </cell>
          <cell r="J88">
            <v>0</v>
          </cell>
          <cell r="K88">
            <v>3</v>
          </cell>
          <cell r="L88">
            <v>0</v>
          </cell>
          <cell r="M88">
            <v>9.6999999999999993</v>
          </cell>
          <cell r="N88">
            <v>0</v>
          </cell>
          <cell r="O88">
            <v>3</v>
          </cell>
          <cell r="P88">
            <v>1140308</v>
          </cell>
          <cell r="Q88" t="str">
            <v>channels</v>
          </cell>
          <cell r="R88">
            <v>2.3536404199567134</v>
          </cell>
        </row>
        <row r="89">
          <cell r="C89" t="str">
            <v>CL183</v>
          </cell>
          <cell r="D89" t="str">
            <v>CL183</v>
          </cell>
          <cell r="E89" t="str">
            <v>PSTN line cards</v>
          </cell>
          <cell r="G89" t="str">
            <v/>
          </cell>
          <cell r="H89">
            <v>136</v>
          </cell>
          <cell r="I89">
            <v>-4</v>
          </cell>
          <cell r="J89">
            <v>7</v>
          </cell>
          <cell r="K89">
            <v>139</v>
          </cell>
          <cell r="L89">
            <v>207</v>
          </cell>
          <cell r="M89">
            <v>8.8000000000000007</v>
          </cell>
          <cell r="N89">
            <v>18</v>
          </cell>
          <cell r="O89">
            <v>157</v>
          </cell>
          <cell r="P89">
            <v>19398781</v>
          </cell>
          <cell r="Q89" t="str">
            <v>lines</v>
          </cell>
          <cell r="R89">
            <v>8.1262887085533873</v>
          </cell>
        </row>
        <row r="90">
          <cell r="C90" t="str">
            <v>CL184</v>
          </cell>
          <cell r="D90" t="str">
            <v>CL184</v>
          </cell>
          <cell r="E90" t="str">
            <v>ISDN2 line cards</v>
          </cell>
          <cell r="G90" t="str">
            <v/>
          </cell>
          <cell r="H90">
            <v>19</v>
          </cell>
          <cell r="I90">
            <v>-1</v>
          </cell>
          <cell r="J90">
            <v>1</v>
          </cell>
          <cell r="K90">
            <v>19</v>
          </cell>
          <cell r="L90">
            <v>36</v>
          </cell>
          <cell r="M90">
            <v>9.6999999999999993</v>
          </cell>
          <cell r="N90">
            <v>3</v>
          </cell>
          <cell r="O90">
            <v>22</v>
          </cell>
          <cell r="P90">
            <v>1140308</v>
          </cell>
          <cell r="Q90" t="str">
            <v>channels</v>
          </cell>
          <cell r="R90">
            <v>20.465695233217691</v>
          </cell>
        </row>
        <row r="91">
          <cell r="C91" t="str">
            <v>CL185</v>
          </cell>
          <cell r="D91" t="str">
            <v>CL185</v>
          </cell>
          <cell r="E91" t="str">
            <v>Pair gain</v>
          </cell>
          <cell r="G91" t="str">
            <v/>
          </cell>
          <cell r="H91">
            <v>0</v>
          </cell>
          <cell r="I91">
            <v>0</v>
          </cell>
          <cell r="J91">
            <v>0</v>
          </cell>
          <cell r="K91">
            <v>0</v>
          </cell>
          <cell r="L91">
            <v>18</v>
          </cell>
          <cell r="M91">
            <v>8.8000000000000007</v>
          </cell>
          <cell r="N91">
            <v>2</v>
          </cell>
          <cell r="O91">
            <v>2</v>
          </cell>
          <cell r="P91">
            <v>19398781</v>
          </cell>
          <cell r="Q91" t="str">
            <v>eq</v>
          </cell>
          <cell r="R91">
            <v>9.7668868987180177E-2</v>
          </cell>
        </row>
        <row r="92">
          <cell r="C92" t="str">
            <v>CL186</v>
          </cell>
          <cell r="D92" t="str">
            <v>CL186</v>
          </cell>
          <cell r="E92" t="str">
            <v>ISDN2 NTE</v>
          </cell>
          <cell r="G92" t="str">
            <v/>
          </cell>
          <cell r="H92">
            <v>6</v>
          </cell>
          <cell r="I92">
            <v>0</v>
          </cell>
          <cell r="J92">
            <v>0</v>
          </cell>
          <cell r="K92">
            <v>6</v>
          </cell>
          <cell r="L92">
            <v>11</v>
          </cell>
          <cell r="M92">
            <v>9.6999999999999993</v>
          </cell>
          <cell r="N92">
            <v>1</v>
          </cell>
          <cell r="O92">
            <v>7</v>
          </cell>
          <cell r="P92">
            <v>1140308</v>
          </cell>
          <cell r="Q92" t="str">
            <v>channels</v>
          </cell>
          <cell r="R92">
            <v>5.8920589875717786</v>
          </cell>
        </row>
        <row r="93">
          <cell r="C93" t="str">
            <v>CO187</v>
          </cell>
          <cell r="D93" t="str">
            <v>CO187</v>
          </cell>
          <cell r="E93" t="str">
            <v>Broadband line testing systems</v>
          </cell>
          <cell r="G93" t="str">
            <v/>
          </cell>
          <cell r="H93">
            <v>56</v>
          </cell>
          <cell r="I93">
            <v>0</v>
          </cell>
          <cell r="J93">
            <v>0</v>
          </cell>
          <cell r="K93">
            <v>56</v>
          </cell>
          <cell r="L93">
            <v>219</v>
          </cell>
          <cell r="M93">
            <v>9.2609999999999992</v>
          </cell>
          <cell r="N93">
            <v>20</v>
          </cell>
          <cell r="O93">
            <v>76</v>
          </cell>
          <cell r="P93">
            <v>16065858</v>
          </cell>
          <cell r="Q93" t="str">
            <v>lines</v>
          </cell>
          <cell r="R93">
            <v>4.7376827929140166</v>
          </cell>
        </row>
        <row r="94">
          <cell r="C94" t="str">
            <v>CO188</v>
          </cell>
          <cell r="D94" t="str">
            <v>CR188</v>
          </cell>
          <cell r="E94" t="str">
            <v>DSLAM capital/maintenance</v>
          </cell>
          <cell r="G94" t="str">
            <v/>
          </cell>
          <cell r="H94">
            <v>185</v>
          </cell>
          <cell r="I94">
            <v>0</v>
          </cell>
          <cell r="J94">
            <v>0</v>
          </cell>
          <cell r="K94">
            <v>185</v>
          </cell>
          <cell r="L94">
            <v>302</v>
          </cell>
          <cell r="M94">
            <v>9.6489999999999991</v>
          </cell>
          <cell r="N94">
            <v>29</v>
          </cell>
          <cell r="O94">
            <v>214</v>
          </cell>
          <cell r="P94" t="str">
            <v>(a)</v>
          </cell>
          <cell r="Q94" t="str">
            <v/>
          </cell>
          <cell r="R94" t="str">
            <v>(a)</v>
          </cell>
        </row>
        <row r="95">
          <cell r="C95" t="str">
            <v>CO118</v>
          </cell>
          <cell r="D95" t="str">
            <v>CR118</v>
          </cell>
          <cell r="E95" t="str">
            <v>ADSL connections</v>
          </cell>
          <cell r="G95" t="str">
            <v/>
          </cell>
          <cell r="H95">
            <v>2</v>
          </cell>
          <cell r="I95">
            <v>0</v>
          </cell>
          <cell r="J95">
            <v>0</v>
          </cell>
          <cell r="K95">
            <v>2</v>
          </cell>
          <cell r="L95">
            <v>14</v>
          </cell>
          <cell r="M95">
            <v>9.6999999999999993</v>
          </cell>
          <cell r="N95">
            <v>1</v>
          </cell>
          <cell r="O95">
            <v>3</v>
          </cell>
          <cell r="P95">
            <v>1973980</v>
          </cell>
          <cell r="Q95" t="str">
            <v>conns</v>
          </cell>
          <cell r="R95">
            <v>1.783565689621982</v>
          </cell>
        </row>
        <row r="96">
          <cell r="C96" t="str">
            <v>CL131</v>
          </cell>
          <cell r="D96" t="str">
            <v>CL131</v>
          </cell>
          <cell r="E96" t="str">
            <v>Local Loop Unbundling room build</v>
          </cell>
          <cell r="G96" t="str">
            <v/>
          </cell>
          <cell r="H96">
            <v>12</v>
          </cell>
          <cell r="I96">
            <v>0</v>
          </cell>
          <cell r="J96">
            <v>0</v>
          </cell>
          <cell r="K96">
            <v>12</v>
          </cell>
          <cell r="L96">
            <v>96</v>
          </cell>
          <cell r="M96">
            <v>8.8000000000000007</v>
          </cell>
          <cell r="N96">
            <v>8</v>
          </cell>
          <cell r="O96">
            <v>20</v>
          </cell>
          <cell r="P96">
            <v>1520</v>
          </cell>
          <cell r="Q96" t="str">
            <v>rooms</v>
          </cell>
          <cell r="R96">
            <v>13715.361842105263</v>
          </cell>
        </row>
        <row r="97">
          <cell r="C97" t="str">
            <v>CL132</v>
          </cell>
          <cell r="D97" t="str">
            <v>CL132</v>
          </cell>
          <cell r="E97" t="str">
            <v>Local Loop Unbundling hostel rentals</v>
          </cell>
          <cell r="G97" t="str">
            <v/>
          </cell>
          <cell r="H97">
            <v>22</v>
          </cell>
          <cell r="I97">
            <v>0</v>
          </cell>
          <cell r="J97">
            <v>0</v>
          </cell>
          <cell r="K97">
            <v>22</v>
          </cell>
          <cell r="L97">
            <v>77</v>
          </cell>
          <cell r="M97">
            <v>8.8000000000000007</v>
          </cell>
          <cell r="N97">
            <v>7</v>
          </cell>
          <cell r="O97">
            <v>29</v>
          </cell>
          <cell r="P97">
            <v>12906</v>
          </cell>
          <cell r="Q97" t="str">
            <v>hostels</v>
          </cell>
          <cell r="R97">
            <v>2258.9088021075468</v>
          </cell>
        </row>
        <row r="98">
          <cell r="C98" t="str">
            <v>CT134</v>
          </cell>
          <cell r="D98" t="str">
            <v>CT134</v>
          </cell>
          <cell r="E98" t="str">
            <v>Local Loop Unbundling hostel rentals power &amp; vent</v>
          </cell>
          <cell r="G98" t="str">
            <v/>
          </cell>
          <cell r="H98">
            <v>50</v>
          </cell>
          <cell r="I98">
            <v>0</v>
          </cell>
          <cell r="J98">
            <v>0</v>
          </cell>
          <cell r="K98">
            <v>50</v>
          </cell>
          <cell r="L98">
            <v>57</v>
          </cell>
          <cell r="M98">
            <v>8.8000000000000007</v>
          </cell>
          <cell r="N98">
            <v>5</v>
          </cell>
          <cell r="O98">
            <v>55</v>
          </cell>
          <cell r="P98">
            <v>12906</v>
          </cell>
          <cell r="Q98" t="str">
            <v>hostels</v>
          </cell>
          <cell r="R98">
            <v>4224.2736711607004</v>
          </cell>
        </row>
        <row r="99">
          <cell r="C99" t="str">
            <v>CL133</v>
          </cell>
          <cell r="D99" t="str">
            <v>CL133</v>
          </cell>
          <cell r="E99" t="str">
            <v>Local Loop Unbundling tie cables</v>
          </cell>
          <cell r="G99" t="str">
            <v/>
          </cell>
          <cell r="H99">
            <v>9</v>
          </cell>
          <cell r="I99">
            <v>1</v>
          </cell>
          <cell r="J99">
            <v>-2</v>
          </cell>
          <cell r="K99">
            <v>8</v>
          </cell>
          <cell r="L99">
            <v>49</v>
          </cell>
          <cell r="M99">
            <v>8.8000000000000007</v>
          </cell>
          <cell r="N99">
            <v>4</v>
          </cell>
          <cell r="O99">
            <v>12</v>
          </cell>
          <cell r="P99">
            <v>325953</v>
          </cell>
          <cell r="Q99" t="str">
            <v>cables</v>
          </cell>
          <cell r="R99">
            <v>39.199899985580743</v>
          </cell>
        </row>
        <row r="100">
          <cell r="C100" t="str">
            <v>CL139</v>
          </cell>
          <cell r="D100" t="str">
            <v>CL139</v>
          </cell>
          <cell r="E100" t="str">
            <v>Local Loop Unbundling systems development</v>
          </cell>
          <cell r="G100" t="str">
            <v/>
          </cell>
          <cell r="H100">
            <v>3</v>
          </cell>
          <cell r="I100">
            <v>0</v>
          </cell>
          <cell r="J100">
            <v>0</v>
          </cell>
          <cell r="K100">
            <v>3</v>
          </cell>
          <cell r="L100">
            <v>9</v>
          </cell>
          <cell r="M100">
            <v>8.8000000000000007</v>
          </cell>
          <cell r="N100">
            <v>1</v>
          </cell>
          <cell r="O100">
            <v>4</v>
          </cell>
          <cell r="P100" t="str">
            <v>(a)</v>
          </cell>
          <cell r="Q100" t="str">
            <v/>
          </cell>
          <cell r="R100" t="str">
            <v>(a)</v>
          </cell>
        </row>
        <row r="101">
          <cell r="C101" t="str">
            <v>CKT12</v>
          </cell>
          <cell r="D101" t="str">
            <v>CKT12</v>
          </cell>
          <cell r="E101" t="str">
            <v>Directories</v>
          </cell>
          <cell r="G101" t="str">
            <v/>
          </cell>
          <cell r="H101">
            <v>28</v>
          </cell>
          <cell r="I101">
            <v>0</v>
          </cell>
          <cell r="J101">
            <v>0</v>
          </cell>
          <cell r="K101">
            <v>28</v>
          </cell>
          <cell r="L101">
            <v>-8</v>
          </cell>
          <cell r="M101">
            <v>8.8000000000000007</v>
          </cell>
          <cell r="N101">
            <v>-1</v>
          </cell>
          <cell r="O101">
            <v>27</v>
          </cell>
          <cell r="P101" t="str">
            <v>(a)</v>
          </cell>
          <cell r="Q101" t="str">
            <v/>
          </cell>
          <cell r="R101" t="str">
            <v>(a)</v>
          </cell>
        </row>
        <row r="102">
          <cell r="C102" t="str">
            <v>CL501</v>
          </cell>
          <cell r="D102" t="str">
            <v>CL570</v>
          </cell>
          <cell r="E102" t="str">
            <v>Service Centres - Provision</v>
          </cell>
          <cell r="G102" t="str">
            <v/>
          </cell>
          <cell r="H102">
            <v>123</v>
          </cell>
          <cell r="I102">
            <v>0</v>
          </cell>
          <cell r="J102">
            <v>0</v>
          </cell>
          <cell r="K102">
            <v>123</v>
          </cell>
          <cell r="L102">
            <v>1</v>
          </cell>
          <cell r="M102">
            <v>8.25</v>
          </cell>
          <cell r="N102">
            <v>0</v>
          </cell>
          <cell r="O102">
            <v>123</v>
          </cell>
          <cell r="P102" t="str">
            <v>(a)</v>
          </cell>
          <cell r="Q102" t="str">
            <v/>
          </cell>
          <cell r="R102" t="str">
            <v>(a)</v>
          </cell>
        </row>
        <row r="103">
          <cell r="C103" t="str">
            <v>CP502</v>
          </cell>
          <cell r="D103" t="str">
            <v>CP502</v>
          </cell>
          <cell r="E103" t="str">
            <v>Sales product management</v>
          </cell>
          <cell r="G103" t="str">
            <v/>
          </cell>
          <cell r="H103">
            <v>22</v>
          </cell>
          <cell r="I103">
            <v>0</v>
          </cell>
          <cell r="J103">
            <v>0</v>
          </cell>
          <cell r="K103">
            <v>22</v>
          </cell>
          <cell r="L103">
            <v>-24</v>
          </cell>
          <cell r="M103">
            <v>8.7989999999999995</v>
          </cell>
          <cell r="N103">
            <v>-2</v>
          </cell>
          <cell r="O103">
            <v>20</v>
          </cell>
          <cell r="P103" t="str">
            <v>(a)</v>
          </cell>
          <cell r="Q103" t="str">
            <v/>
          </cell>
          <cell r="R103" t="str">
            <v>(a)</v>
          </cell>
        </row>
        <row r="104">
          <cell r="C104" t="str">
            <v>CL503</v>
          </cell>
          <cell r="D104" t="str">
            <v>CL575</v>
          </cell>
          <cell r="E104" t="str">
            <v>Service Centres - Assurance</v>
          </cell>
          <cell r="G104" t="str">
            <v/>
          </cell>
          <cell r="H104">
            <v>45</v>
          </cell>
          <cell r="I104">
            <v>0</v>
          </cell>
          <cell r="J104">
            <v>0</v>
          </cell>
          <cell r="K104">
            <v>45</v>
          </cell>
          <cell r="L104">
            <v>2</v>
          </cell>
          <cell r="M104">
            <v>9.1609999999999996</v>
          </cell>
          <cell r="N104">
            <v>0</v>
          </cell>
          <cell r="O104">
            <v>45</v>
          </cell>
          <cell r="P104" t="str">
            <v>(a)</v>
          </cell>
          <cell r="Q104" t="str">
            <v/>
          </cell>
          <cell r="R104" t="str">
            <v>(a)</v>
          </cell>
        </row>
        <row r="105">
          <cell r="C105" t="str">
            <v>CN002</v>
          </cell>
          <cell r="D105" t="str">
            <v>CN853</v>
          </cell>
          <cell r="E105" t="str">
            <v>Combi Card voice</v>
          </cell>
          <cell r="G105" t="str">
            <v/>
          </cell>
          <cell r="H105">
            <v>4</v>
          </cell>
          <cell r="I105">
            <v>0</v>
          </cell>
          <cell r="J105">
            <v>1</v>
          </cell>
          <cell r="K105">
            <v>5</v>
          </cell>
          <cell r="L105">
            <v>8</v>
          </cell>
          <cell r="M105">
            <v>8.8000000000000007</v>
          </cell>
          <cell r="N105">
            <v>1</v>
          </cell>
          <cell r="O105">
            <v>6</v>
          </cell>
          <cell r="P105">
            <v>19398781</v>
          </cell>
          <cell r="Q105" t="str">
            <v>lines</v>
          </cell>
          <cell r="R105">
            <v>0.24147213167672751</v>
          </cell>
        </row>
        <row r="106">
          <cell r="C106" t="str">
            <v>CN003</v>
          </cell>
          <cell r="D106" t="str">
            <v>CN854</v>
          </cell>
          <cell r="E106" t="str">
            <v>Combi Card Broadband Access</v>
          </cell>
          <cell r="G106" t="str">
            <v/>
          </cell>
          <cell r="H106">
            <v>111</v>
          </cell>
          <cell r="I106">
            <v>-25</v>
          </cell>
          <cell r="J106">
            <v>50</v>
          </cell>
          <cell r="K106">
            <v>136</v>
          </cell>
          <cell r="L106">
            <v>239</v>
          </cell>
          <cell r="M106">
            <v>9.6999999999999993</v>
          </cell>
          <cell r="N106">
            <v>23</v>
          </cell>
          <cell r="O106">
            <v>159</v>
          </cell>
          <cell r="P106">
            <v>8207292</v>
          </cell>
          <cell r="Q106" t="str">
            <v>lines</v>
          </cell>
          <cell r="R106">
            <v>19.309086602499338</v>
          </cell>
        </row>
        <row r="107">
          <cell r="C107" t="str">
            <v>CN016</v>
          </cell>
          <cell r="D107" t="str">
            <v>CN852</v>
          </cell>
          <cell r="E107" t="str">
            <v>Access Cards (ISDN2 services)</v>
          </cell>
          <cell r="G107" t="str">
            <v/>
          </cell>
          <cell r="H107">
            <v>0</v>
          </cell>
          <cell r="I107">
            <v>0</v>
          </cell>
          <cell r="J107">
            <v>0</v>
          </cell>
          <cell r="K107">
            <v>0</v>
          </cell>
          <cell r="L107">
            <v>0</v>
          </cell>
          <cell r="M107">
            <v>9.6999999999999993</v>
          </cell>
          <cell r="N107">
            <v>0</v>
          </cell>
          <cell r="O107">
            <v>0</v>
          </cell>
          <cell r="P107">
            <v>1140308</v>
          </cell>
          <cell r="Q107" t="str">
            <v>channels</v>
          </cell>
          <cell r="R107">
            <v>3.1886121995110092E-3</v>
          </cell>
        </row>
        <row r="108">
          <cell r="C108" t="str">
            <v>CN004</v>
          </cell>
          <cell r="D108" t="str">
            <v>CN869</v>
          </cell>
          <cell r="E108" t="str">
            <v>Core/Metro (voice)</v>
          </cell>
          <cell r="G108" t="str">
            <v/>
          </cell>
          <cell r="H108">
            <v>5</v>
          </cell>
          <cell r="I108">
            <v>0</v>
          </cell>
          <cell r="J108">
            <v>-1</v>
          </cell>
          <cell r="K108">
            <v>4</v>
          </cell>
          <cell r="L108">
            <v>10</v>
          </cell>
          <cell r="M108">
            <v>9.6999999999999993</v>
          </cell>
          <cell r="N108">
            <v>1</v>
          </cell>
          <cell r="O108">
            <v>5</v>
          </cell>
          <cell r="P108">
            <v>274731</v>
          </cell>
          <cell r="Q108" t="str">
            <v>mm</v>
          </cell>
          <cell r="R108">
            <v>1.8180012448540572E-3</v>
          </cell>
        </row>
        <row r="109">
          <cell r="C109" t="str">
            <v>CN009</v>
          </cell>
          <cell r="D109" t="str">
            <v>CN867</v>
          </cell>
          <cell r="E109" t="str">
            <v>Border gateway &amp; signalling firewall</v>
          </cell>
          <cell r="G109" t="str">
            <v/>
          </cell>
          <cell r="H109">
            <v>0</v>
          </cell>
          <cell r="I109">
            <v>0</v>
          </cell>
          <cell r="J109">
            <v>0</v>
          </cell>
          <cell r="K109">
            <v>0</v>
          </cell>
          <cell r="L109">
            <v>0</v>
          </cell>
          <cell r="M109">
            <v>9.6999999999999993</v>
          </cell>
          <cell r="N109">
            <v>0</v>
          </cell>
          <cell r="O109">
            <v>0</v>
          </cell>
          <cell r="P109">
            <v>170360</v>
          </cell>
          <cell r="Q109" t="str">
            <v>mm</v>
          </cell>
          <cell r="R109">
            <v>7.8656961728105191E-7</v>
          </cell>
        </row>
        <row r="110">
          <cell r="C110" t="str">
            <v>CN011</v>
          </cell>
          <cell r="D110" t="str">
            <v>CN861</v>
          </cell>
          <cell r="E110" t="str">
            <v>MSAN-POSI Voice Link</v>
          </cell>
          <cell r="G110" t="str">
            <v/>
          </cell>
          <cell r="H110">
            <v>0</v>
          </cell>
          <cell r="I110">
            <v>0</v>
          </cell>
          <cell r="J110">
            <v>0</v>
          </cell>
          <cell r="K110">
            <v>0</v>
          </cell>
          <cell r="L110">
            <v>0</v>
          </cell>
          <cell r="M110">
            <v>9.6999999999999993</v>
          </cell>
          <cell r="N110">
            <v>0</v>
          </cell>
          <cell r="O110">
            <v>0</v>
          </cell>
          <cell r="P110">
            <v>154063</v>
          </cell>
          <cell r="Q110" t="str">
            <v>mm</v>
          </cell>
          <cell r="R110">
            <v>1.5757190240356219E-5</v>
          </cell>
        </row>
        <row r="111">
          <cell r="C111" t="str">
            <v>CN001</v>
          </cell>
          <cell r="D111" t="str">
            <v>CN881</v>
          </cell>
          <cell r="E111" t="str">
            <v>Access Cards (other services)</v>
          </cell>
          <cell r="G111" t="str">
            <v/>
          </cell>
          <cell r="H111">
            <v>32</v>
          </cell>
          <cell r="I111">
            <v>-2</v>
          </cell>
          <cell r="J111">
            <v>11</v>
          </cell>
          <cell r="K111">
            <v>41</v>
          </cell>
          <cell r="L111">
            <v>38</v>
          </cell>
          <cell r="M111">
            <v>9.6999999999999993</v>
          </cell>
          <cell r="N111">
            <v>4</v>
          </cell>
          <cell r="O111">
            <v>45</v>
          </cell>
          <cell r="P111" t="str">
            <v>(a)</v>
          </cell>
          <cell r="Q111" t="str">
            <v/>
          </cell>
          <cell r="R111" t="str">
            <v>(a)</v>
          </cell>
        </row>
        <row r="112">
          <cell r="C112" t="str">
            <v>CN005</v>
          </cell>
          <cell r="D112" t="str">
            <v>CN870</v>
          </cell>
          <cell r="E112" t="str">
            <v>MSAN-METRO Connectivity Link</v>
          </cell>
          <cell r="G112" t="str">
            <v/>
          </cell>
          <cell r="H112">
            <v>19</v>
          </cell>
          <cell r="I112">
            <v>-1</v>
          </cell>
          <cell r="J112">
            <v>5</v>
          </cell>
          <cell r="K112">
            <v>23</v>
          </cell>
          <cell r="L112">
            <v>57</v>
          </cell>
          <cell r="M112">
            <v>9.6999999999999993</v>
          </cell>
          <cell r="N112">
            <v>6</v>
          </cell>
          <cell r="O112">
            <v>29</v>
          </cell>
          <cell r="P112" t="str">
            <v>(a)</v>
          </cell>
          <cell r="Q112" t="str">
            <v/>
          </cell>
          <cell r="R112" t="str">
            <v>(a)</v>
          </cell>
        </row>
        <row r="113">
          <cell r="C113" t="str">
            <v>CN007</v>
          </cell>
          <cell r="D113" t="str">
            <v>CN878</v>
          </cell>
          <cell r="E113" t="str">
            <v>Core/Metro connectivity</v>
          </cell>
          <cell r="G113" t="str">
            <v/>
          </cell>
          <cell r="H113">
            <v>58</v>
          </cell>
          <cell r="I113">
            <v>-5</v>
          </cell>
          <cell r="J113">
            <v>0</v>
          </cell>
          <cell r="K113">
            <v>53</v>
          </cell>
          <cell r="L113">
            <v>131</v>
          </cell>
          <cell r="M113">
            <v>9.6999999999999993</v>
          </cell>
          <cell r="N113">
            <v>13</v>
          </cell>
          <cell r="O113">
            <v>66</v>
          </cell>
          <cell r="P113" t="str">
            <v>(a)</v>
          </cell>
          <cell r="Q113" t="str">
            <v/>
          </cell>
          <cell r="R113" t="str">
            <v>(a)</v>
          </cell>
        </row>
        <row r="114">
          <cell r="C114" t="str">
            <v>CN008</v>
          </cell>
          <cell r="D114" t="str">
            <v>CN885</v>
          </cell>
          <cell r="E114" t="str">
            <v>Edge Ethernet ports</v>
          </cell>
          <cell r="G114" t="str">
            <v/>
          </cell>
          <cell r="H114">
            <v>5</v>
          </cell>
          <cell r="I114">
            <v>0</v>
          </cell>
          <cell r="J114">
            <v>-1</v>
          </cell>
          <cell r="K114">
            <v>4</v>
          </cell>
          <cell r="L114">
            <v>9</v>
          </cell>
          <cell r="M114">
            <v>9.6999999999999993</v>
          </cell>
          <cell r="N114">
            <v>1</v>
          </cell>
          <cell r="O114">
            <v>5</v>
          </cell>
          <cell r="P114" t="str">
            <v>(a)</v>
          </cell>
          <cell r="Q114" t="str">
            <v/>
          </cell>
          <cell r="R114" t="str">
            <v>(a)</v>
          </cell>
        </row>
        <row r="115">
          <cell r="C115" t="str">
            <v>CN010</v>
          </cell>
          <cell r="D115" t="str">
            <v>CN868</v>
          </cell>
          <cell r="E115" t="str">
            <v>iNode (call set up and features)</v>
          </cell>
          <cell r="G115" t="str">
            <v/>
          </cell>
          <cell r="H115">
            <v>11</v>
          </cell>
          <cell r="I115">
            <v>0</v>
          </cell>
          <cell r="J115">
            <v>0</v>
          </cell>
          <cell r="K115">
            <v>11</v>
          </cell>
          <cell r="L115">
            <v>61</v>
          </cell>
          <cell r="M115">
            <v>9.6999999999999993</v>
          </cell>
          <cell r="N115">
            <v>6</v>
          </cell>
          <cell r="O115">
            <v>17</v>
          </cell>
          <cell r="P115" t="str">
            <v>(a)</v>
          </cell>
          <cell r="Q115" t="str">
            <v/>
          </cell>
          <cell r="R115" t="str">
            <v>(a)</v>
          </cell>
        </row>
        <row r="116">
          <cell r="C116" t="str">
            <v>CO310</v>
          </cell>
          <cell r="D116" t="str">
            <v>CO310</v>
          </cell>
          <cell r="E116" t="str">
            <v>ATM customer interface 2Mbit/s</v>
          </cell>
          <cell r="G116" t="str">
            <v/>
          </cell>
          <cell r="H116">
            <v>0</v>
          </cell>
          <cell r="I116">
            <v>0</v>
          </cell>
          <cell r="J116">
            <v>0</v>
          </cell>
          <cell r="K116">
            <v>0</v>
          </cell>
          <cell r="L116">
            <v>0</v>
          </cell>
          <cell r="M116">
            <v>9.6999999999999993</v>
          </cell>
          <cell r="N116">
            <v>0</v>
          </cell>
          <cell r="O116">
            <v>0</v>
          </cell>
          <cell r="P116">
            <v>2968</v>
          </cell>
          <cell r="Q116" t="str">
            <v>ports</v>
          </cell>
          <cell r="R116">
            <v>129.7260781671159</v>
          </cell>
        </row>
        <row r="117">
          <cell r="C117" t="str">
            <v>CO311</v>
          </cell>
          <cell r="D117" t="str">
            <v>CO311</v>
          </cell>
          <cell r="E117" t="str">
            <v>ATM customer interface 34Mbit/s</v>
          </cell>
          <cell r="G117" t="str">
            <v/>
          </cell>
          <cell r="H117">
            <v>2</v>
          </cell>
          <cell r="I117">
            <v>0</v>
          </cell>
          <cell r="J117">
            <v>0</v>
          </cell>
          <cell r="K117">
            <v>2</v>
          </cell>
          <cell r="L117">
            <v>1</v>
          </cell>
          <cell r="M117">
            <v>9.6999999999999993</v>
          </cell>
          <cell r="N117">
            <v>0</v>
          </cell>
          <cell r="O117">
            <v>2</v>
          </cell>
          <cell r="P117">
            <v>1177</v>
          </cell>
          <cell r="Q117" t="str">
            <v>ports</v>
          </cell>
          <cell r="R117">
            <v>1473.6406117247238</v>
          </cell>
        </row>
        <row r="119">
          <cell r="C119" t="str">
            <v>Enter footnote reference</v>
          </cell>
          <cell r="D119" t="str">
            <v>&gt;&gt;&gt;</v>
          </cell>
          <cell r="E119" t="str">
            <v>a</v>
          </cell>
          <cell r="F119" t="str">
            <v>This component is attributed on a % basis so no volume or unit cost is derivable.</v>
          </cell>
        </row>
        <row r="120">
          <cell r="C120" t="str">
            <v>Enter footnote reference</v>
          </cell>
          <cell r="D120" t="str">
            <v>&gt;&gt;&gt;</v>
          </cell>
          <cell r="E120" t="str">
            <v>b</v>
          </cell>
          <cell r="F120" t="str">
            <v>See glossary for volume unit descriptors.</v>
          </cell>
        </row>
        <row r="121">
          <cell r="C121" t="str">
            <v>Enter footnote reference</v>
          </cell>
          <cell r="D121" t="str">
            <v>&gt;&gt;&gt;</v>
          </cell>
          <cell r="E121" t="str">
            <v>h</v>
          </cell>
          <cell r="F121" t="str">
            <v>See Section 4 - Basis of Preparation.</v>
          </cell>
        </row>
        <row r="124">
          <cell r="E124" t="str">
            <v>Network Activity Statement - Consolidated 2012 (Annex 15) (continued)</v>
          </cell>
        </row>
        <row r="126">
          <cell r="E126" t="str">
            <v>For the year ended 31 March 2012</v>
          </cell>
        </row>
        <row r="127">
          <cell r="E127" t="str">
            <v>Network Activity Statement - Consolidated (this is a consolidation of all markets where there are cost accounting obligations)</v>
          </cell>
        </row>
        <row r="128">
          <cell r="C128" t="str">
            <v>SuperComp</v>
          </cell>
          <cell r="D128" t="str">
            <v>Lead comp</v>
          </cell>
          <cell r="E128" t="str">
            <v>Fully Allocated Cost (£m)</v>
          </cell>
          <cell r="G128" t="str">
            <v>Footnotes</v>
          </cell>
          <cell r="H128" t="str">
            <v>HCA operating cost</v>
          </cell>
          <cell r="I128" t="str">
            <v>Supplementary depreciation</v>
          </cell>
          <cell r="J128" t="str">
            <v>Holding gain and other CCA adjustments</v>
          </cell>
          <cell r="K128" t="str">
            <v>Total CCA operating costs</v>
          </cell>
          <cell r="L128" t="str">
            <v>CCA mean capital employed</v>
          </cell>
          <cell r="M128" t="str">
            <v xml:space="preserve">Applicable rate of return on capital % </v>
          </cell>
          <cell r="N128" t="str">
            <v>Capital costs</v>
          </cell>
          <cell r="O128" t="str">
            <v>Total of operating costs and capital costs relating to current year</v>
          </cell>
          <cell r="P128" t="str">
            <v>Volume (b)</v>
          </cell>
          <cell r="R128" t="str">
            <v>Average costs per unit on a current cost basis relating to current year</v>
          </cell>
        </row>
        <row r="130">
          <cell r="E130" t="str">
            <v>SMP Cost Accounting components</v>
          </cell>
        </row>
        <row r="132">
          <cell r="C132" t="str">
            <v>CO312</v>
          </cell>
          <cell r="D132" t="str">
            <v>CO312</v>
          </cell>
          <cell r="E132" t="str">
            <v>ATM customer interface &gt; 155Mbit/s</v>
          </cell>
          <cell r="G132" t="str">
            <v/>
          </cell>
          <cell r="H132">
            <v>7</v>
          </cell>
          <cell r="I132">
            <v>0</v>
          </cell>
          <cell r="J132">
            <v>0</v>
          </cell>
          <cell r="K132">
            <v>7</v>
          </cell>
          <cell r="L132">
            <v>5</v>
          </cell>
          <cell r="M132">
            <v>9.6999999999999993</v>
          </cell>
          <cell r="N132">
            <v>0</v>
          </cell>
          <cell r="O132">
            <v>7</v>
          </cell>
          <cell r="P132">
            <v>16565</v>
          </cell>
          <cell r="Q132" t="str">
            <v>ports</v>
          </cell>
          <cell r="R132">
            <v>458.60138846966498</v>
          </cell>
        </row>
        <row r="133">
          <cell r="C133" t="str">
            <v>CO313</v>
          </cell>
          <cell r="D133" t="str">
            <v>CO313</v>
          </cell>
          <cell r="E133" t="str">
            <v>ATM network interface</v>
          </cell>
          <cell r="G133" t="str">
            <v/>
          </cell>
          <cell r="H133">
            <v>4</v>
          </cell>
          <cell r="I133">
            <v>0</v>
          </cell>
          <cell r="J133">
            <v>0</v>
          </cell>
          <cell r="K133">
            <v>4</v>
          </cell>
          <cell r="L133">
            <v>3</v>
          </cell>
          <cell r="M133">
            <v>9.6999999999999993</v>
          </cell>
          <cell r="N133">
            <v>0</v>
          </cell>
          <cell r="O133">
            <v>4</v>
          </cell>
          <cell r="P133">
            <v>11434</v>
          </cell>
          <cell r="Q133" t="str">
            <v>ports</v>
          </cell>
          <cell r="R133">
            <v>335.65217771558508</v>
          </cell>
        </row>
        <row r="134">
          <cell r="C134" t="str">
            <v>CO314</v>
          </cell>
          <cell r="D134" t="str">
            <v>CO314</v>
          </cell>
          <cell r="E134" t="str">
            <v>ATM network switching</v>
          </cell>
          <cell r="G134" t="str">
            <v/>
          </cell>
          <cell r="H134">
            <v>20</v>
          </cell>
          <cell r="I134">
            <v>0</v>
          </cell>
          <cell r="J134">
            <v>0</v>
          </cell>
          <cell r="K134">
            <v>20</v>
          </cell>
          <cell r="L134">
            <v>15</v>
          </cell>
          <cell r="M134">
            <v>9.6999999999999993</v>
          </cell>
          <cell r="N134">
            <v>1</v>
          </cell>
          <cell r="O134">
            <v>21</v>
          </cell>
          <cell r="P134">
            <v>4454508</v>
          </cell>
          <cell r="Q134" t="str">
            <v>usage</v>
          </cell>
          <cell r="R134">
            <v>4.7414807651035762</v>
          </cell>
        </row>
        <row r="135">
          <cell r="C135" t="str">
            <v>CO316</v>
          </cell>
          <cell r="D135" t="str">
            <v>CO316</v>
          </cell>
          <cell r="E135" t="str">
            <v>Inter ATM transmissions</v>
          </cell>
          <cell r="G135" t="str">
            <v/>
          </cell>
          <cell r="H135">
            <v>37</v>
          </cell>
          <cell r="I135">
            <v>-2</v>
          </cell>
          <cell r="J135">
            <v>-7</v>
          </cell>
          <cell r="K135">
            <v>28</v>
          </cell>
          <cell r="L135">
            <v>157</v>
          </cell>
          <cell r="M135">
            <v>9.6999999999999993</v>
          </cell>
          <cell r="N135">
            <v>15</v>
          </cell>
          <cell r="O135">
            <v>43</v>
          </cell>
          <cell r="P135">
            <v>1318728</v>
          </cell>
          <cell r="Q135" t="str">
            <v>usage</v>
          </cell>
          <cell r="R135">
            <v>33.532999981800643</v>
          </cell>
        </row>
        <row r="136">
          <cell r="C136" t="str">
            <v>CO681</v>
          </cell>
          <cell r="D136" t="str">
            <v>CO681</v>
          </cell>
          <cell r="E136" t="str">
            <v>Broadband backhaul circuits (excl Virtual Paths)</v>
          </cell>
          <cell r="G136" t="str">
            <v/>
          </cell>
          <cell r="H136">
            <v>40</v>
          </cell>
          <cell r="I136">
            <v>-1</v>
          </cell>
          <cell r="J136">
            <v>-6</v>
          </cell>
          <cell r="K136">
            <v>33</v>
          </cell>
          <cell r="L136">
            <v>162</v>
          </cell>
          <cell r="M136">
            <v>9.6999999999999993</v>
          </cell>
          <cell r="N136">
            <v>16</v>
          </cell>
          <cell r="O136">
            <v>49</v>
          </cell>
          <cell r="P136" t="str">
            <v>(a)</v>
          </cell>
          <cell r="Q136" t="str">
            <v/>
          </cell>
          <cell r="R136" t="str">
            <v>(a)</v>
          </cell>
        </row>
        <row r="137">
          <cell r="C137" t="str">
            <v>CN013</v>
          </cell>
          <cell r="D137" t="str">
            <v>CN856</v>
          </cell>
          <cell r="E137" t="str">
            <v>21CN Backhaul Link &amp; Length</v>
          </cell>
          <cell r="G137" t="str">
            <v/>
          </cell>
          <cell r="H137">
            <v>42</v>
          </cell>
          <cell r="I137">
            <v>-3</v>
          </cell>
          <cell r="J137">
            <v>21</v>
          </cell>
          <cell r="K137">
            <v>60</v>
          </cell>
          <cell r="L137">
            <v>101</v>
          </cell>
          <cell r="M137">
            <v>9.6999999999999993</v>
          </cell>
          <cell r="N137">
            <v>10</v>
          </cell>
          <cell r="O137">
            <v>70</v>
          </cell>
          <cell r="P137">
            <v>22352</v>
          </cell>
          <cell r="Q137" t="str">
            <v>circuits</v>
          </cell>
          <cell r="R137">
            <v>3152.6631173944165</v>
          </cell>
        </row>
        <row r="138">
          <cell r="C138" t="str">
            <v>CN015</v>
          </cell>
          <cell r="D138" t="str">
            <v>CN860</v>
          </cell>
          <cell r="E138" t="str">
            <v>Core/Metro (broadband)</v>
          </cell>
          <cell r="G138" t="str">
            <v/>
          </cell>
          <cell r="H138">
            <v>97</v>
          </cell>
          <cell r="I138">
            <v>-8</v>
          </cell>
          <cell r="J138">
            <v>-1</v>
          </cell>
          <cell r="K138">
            <v>88</v>
          </cell>
          <cell r="L138">
            <v>209</v>
          </cell>
          <cell r="M138">
            <v>9.6999999999999993</v>
          </cell>
          <cell r="N138">
            <v>20</v>
          </cell>
          <cell r="O138">
            <v>108</v>
          </cell>
          <cell r="P138">
            <v>7671109</v>
          </cell>
          <cell r="Q138" t="str">
            <v>circuits</v>
          </cell>
          <cell r="R138">
            <v>14.163405186916259</v>
          </cell>
        </row>
        <row r="139">
          <cell r="C139" t="str">
            <v>CD100</v>
          </cell>
          <cell r="D139" t="str">
            <v>CD100</v>
          </cell>
          <cell r="E139" t="str">
            <v>Low Tisbo Equipment Depn</v>
          </cell>
          <cell r="G139" t="str">
            <v/>
          </cell>
          <cell r="H139">
            <v>25</v>
          </cell>
          <cell r="I139">
            <v>0</v>
          </cell>
          <cell r="J139">
            <v>0</v>
          </cell>
          <cell r="K139">
            <v>25</v>
          </cell>
          <cell r="L139">
            <v>0</v>
          </cell>
          <cell r="M139">
            <v>0</v>
          </cell>
          <cell r="N139">
            <v>0</v>
          </cell>
          <cell r="O139">
            <v>25</v>
          </cell>
          <cell r="P139" t="str">
            <v>(a)</v>
          </cell>
          <cell r="Q139" t="str">
            <v/>
          </cell>
          <cell r="R139" t="str">
            <v>(a)</v>
          </cell>
        </row>
        <row r="140">
          <cell r="C140" t="str">
            <v>CD101</v>
          </cell>
          <cell r="D140" t="str">
            <v>CD101</v>
          </cell>
          <cell r="E140" t="str">
            <v>High Tisbo Equipment Depn</v>
          </cell>
          <cell r="G140" t="str">
            <v/>
          </cell>
          <cell r="H140">
            <v>4</v>
          </cell>
          <cell r="I140">
            <v>0</v>
          </cell>
          <cell r="J140">
            <v>0</v>
          </cell>
          <cell r="K140">
            <v>4</v>
          </cell>
          <cell r="L140">
            <v>0</v>
          </cell>
          <cell r="M140">
            <v>0</v>
          </cell>
          <cell r="N140">
            <v>0</v>
          </cell>
          <cell r="O140">
            <v>4</v>
          </cell>
          <cell r="P140" t="str">
            <v>(a)</v>
          </cell>
          <cell r="Q140" t="str">
            <v/>
          </cell>
          <cell r="R140" t="str">
            <v>(a)</v>
          </cell>
        </row>
        <row r="141">
          <cell r="C141" t="str">
            <v>CD102</v>
          </cell>
          <cell r="D141" t="str">
            <v>CD102</v>
          </cell>
          <cell r="E141" t="str">
            <v>Very High Tisbo Equipment Depn</v>
          </cell>
          <cell r="G141" t="str">
            <v/>
          </cell>
          <cell r="H141">
            <v>0</v>
          </cell>
          <cell r="I141">
            <v>0</v>
          </cell>
          <cell r="J141">
            <v>0</v>
          </cell>
          <cell r="K141">
            <v>0</v>
          </cell>
          <cell r="L141">
            <v>0</v>
          </cell>
          <cell r="M141">
            <v>0</v>
          </cell>
          <cell r="N141">
            <v>0</v>
          </cell>
          <cell r="O141">
            <v>0</v>
          </cell>
          <cell r="P141" t="str">
            <v>(a)</v>
          </cell>
          <cell r="Q141" t="str">
            <v/>
          </cell>
          <cell r="R141" t="str">
            <v>(a)</v>
          </cell>
        </row>
        <row r="142">
          <cell r="C142" t="str">
            <v>CE103</v>
          </cell>
          <cell r="D142" t="str">
            <v>CE103</v>
          </cell>
          <cell r="E142" t="str">
            <v>Low Tisbo  Excess Construction</v>
          </cell>
          <cell r="G142" t="str">
            <v/>
          </cell>
          <cell r="H142">
            <v>3</v>
          </cell>
          <cell r="I142">
            <v>0</v>
          </cell>
          <cell r="J142">
            <v>0</v>
          </cell>
          <cell r="K142">
            <v>3</v>
          </cell>
          <cell r="L142">
            <v>43</v>
          </cell>
          <cell r="M142">
            <v>9.6999999999999993</v>
          </cell>
          <cell r="N142">
            <v>4</v>
          </cell>
          <cell r="O142">
            <v>7</v>
          </cell>
          <cell r="P142" t="str">
            <v>(a)</v>
          </cell>
          <cell r="Q142" t="str">
            <v/>
          </cell>
          <cell r="R142" t="str">
            <v>(a)</v>
          </cell>
        </row>
        <row r="143">
          <cell r="C143" t="str">
            <v>CE104</v>
          </cell>
          <cell r="D143" t="str">
            <v>CE104</v>
          </cell>
          <cell r="E143" t="str">
            <v>AISBO Excess Construction</v>
          </cell>
          <cell r="G143" t="str">
            <v/>
          </cell>
          <cell r="H143">
            <v>5</v>
          </cell>
          <cell r="I143">
            <v>0</v>
          </cell>
          <cell r="J143">
            <v>0</v>
          </cell>
          <cell r="K143">
            <v>5</v>
          </cell>
          <cell r="L143">
            <v>82</v>
          </cell>
          <cell r="M143">
            <v>9.6999999999999993</v>
          </cell>
          <cell r="N143">
            <v>8</v>
          </cell>
          <cell r="O143">
            <v>13</v>
          </cell>
          <cell r="P143" t="str">
            <v>(a)</v>
          </cell>
          <cell r="Q143" t="str">
            <v/>
          </cell>
          <cell r="R143" t="str">
            <v>(a)</v>
          </cell>
        </row>
        <row r="144">
          <cell r="C144" t="str">
            <v>CO609</v>
          </cell>
          <cell r="D144" t="str">
            <v>CO609</v>
          </cell>
          <cell r="E144" t="str">
            <v>SG&amp;A Broadband</v>
          </cell>
          <cell r="G144" t="str">
            <v/>
          </cell>
          <cell r="H144">
            <v>101</v>
          </cell>
          <cell r="I144">
            <v>0</v>
          </cell>
          <cell r="J144">
            <v>0</v>
          </cell>
          <cell r="K144">
            <v>101</v>
          </cell>
          <cell r="L144">
            <v>113</v>
          </cell>
          <cell r="M144">
            <v>9.6999999999999993</v>
          </cell>
          <cell r="N144">
            <v>11</v>
          </cell>
          <cell r="O144">
            <v>112</v>
          </cell>
          <cell r="P144" t="str">
            <v>(a)</v>
          </cell>
          <cell r="Q144" t="str">
            <v/>
          </cell>
          <cell r="R144" t="str">
            <v>(a)</v>
          </cell>
        </row>
        <row r="145">
          <cell r="C145" t="str">
            <v>CO586</v>
          </cell>
          <cell r="D145" t="str">
            <v>CO586</v>
          </cell>
          <cell r="E145" t="str">
            <v>SG&amp;A Interconnect</v>
          </cell>
          <cell r="G145" t="str">
            <v/>
          </cell>
          <cell r="H145">
            <v>8</v>
          </cell>
          <cell r="I145">
            <v>0</v>
          </cell>
          <cell r="J145">
            <v>0</v>
          </cell>
          <cell r="K145">
            <v>8</v>
          </cell>
          <cell r="L145">
            <v>2</v>
          </cell>
          <cell r="M145">
            <v>9.6999999999999993</v>
          </cell>
          <cell r="N145">
            <v>0</v>
          </cell>
          <cell r="O145">
            <v>8</v>
          </cell>
          <cell r="P145" t="str">
            <v>(a)</v>
          </cell>
          <cell r="Q145" t="str">
            <v/>
          </cell>
          <cell r="R145" t="str">
            <v>(a)</v>
          </cell>
        </row>
        <row r="148">
          <cell r="C148" t="str">
            <v>CL163</v>
          </cell>
          <cell r="D148" t="str">
            <v>CL163</v>
          </cell>
          <cell r="E148" t="str">
            <v>ISDN30 connections</v>
          </cell>
          <cell r="G148" t="str">
            <v>(n)</v>
          </cell>
          <cell r="P148" t="str">
            <v>(n)</v>
          </cell>
          <cell r="Q148" t="str">
            <v/>
          </cell>
          <cell r="R148" t="str">
            <v/>
          </cell>
        </row>
        <row r="149">
          <cell r="C149" t="str">
            <v>CL189</v>
          </cell>
          <cell r="D149" t="str">
            <v>CL189</v>
          </cell>
          <cell r="E149" t="str">
            <v>ISDN30 access</v>
          </cell>
          <cell r="G149" t="str">
            <v>(n)</v>
          </cell>
          <cell r="P149" t="str">
            <v>(n)</v>
          </cell>
          <cell r="Q149" t="str">
            <v/>
          </cell>
          <cell r="R149" t="str">
            <v/>
          </cell>
        </row>
        <row r="150">
          <cell r="C150" t="str">
            <v>CL190</v>
          </cell>
          <cell r="D150" t="str">
            <v>CL190</v>
          </cell>
          <cell r="E150" t="str">
            <v>ISDN30 line cards</v>
          </cell>
          <cell r="G150" t="str">
            <v>(n)</v>
          </cell>
          <cell r="P150" t="str">
            <v>(n)</v>
          </cell>
          <cell r="Q150" t="str">
            <v/>
          </cell>
          <cell r="R150" t="str">
            <v/>
          </cell>
        </row>
        <row r="151">
          <cell r="C151" t="str">
            <v>CN017</v>
          </cell>
          <cell r="D151" t="str">
            <v>CN851</v>
          </cell>
          <cell r="E151" t="str">
            <v>Access Cards (ISDN30 services)</v>
          </cell>
          <cell r="G151" t="str">
            <v>(n)</v>
          </cell>
          <cell r="P151" t="str">
            <v>(n)</v>
          </cell>
          <cell r="Q151" t="str">
            <v/>
          </cell>
          <cell r="R151" t="str">
            <v/>
          </cell>
        </row>
        <row r="153">
          <cell r="C153" t="str">
            <v>Accounting Separation (AS)</v>
          </cell>
          <cell r="E153" t="str">
            <v>SMP Accounting Separation components</v>
          </cell>
          <cell r="H153">
            <v>103</v>
          </cell>
          <cell r="I153">
            <v>-1</v>
          </cell>
          <cell r="J153">
            <v>14</v>
          </cell>
          <cell r="K153">
            <v>116</v>
          </cell>
          <cell r="L153">
            <v>213</v>
          </cell>
          <cell r="M153" t="str">
            <v xml:space="preserve"> </v>
          </cell>
          <cell r="N153">
            <v>21</v>
          </cell>
          <cell r="O153">
            <v>137</v>
          </cell>
          <cell r="P153" t="str">
            <v xml:space="preserve">n/a </v>
          </cell>
          <cell r="R153" t="str">
            <v>n/a</v>
          </cell>
        </row>
        <row r="155">
          <cell r="C155" t="str">
            <v>Residual</v>
          </cell>
          <cell r="E155" t="str">
            <v>Residual components</v>
          </cell>
          <cell r="H155">
            <v>2119</v>
          </cell>
          <cell r="I155">
            <v>4</v>
          </cell>
          <cell r="J155">
            <v>2</v>
          </cell>
          <cell r="K155">
            <v>2125</v>
          </cell>
          <cell r="L155">
            <v>889</v>
          </cell>
          <cell r="M155" t="str">
            <v xml:space="preserve"> </v>
          </cell>
          <cell r="N155">
            <v>83</v>
          </cell>
          <cell r="O155">
            <v>2208</v>
          </cell>
          <cell r="P155" t="str">
            <v xml:space="preserve">n/a </v>
          </cell>
          <cell r="R155" t="str">
            <v>n/a</v>
          </cell>
        </row>
        <row r="157">
          <cell r="C157" t="str">
            <v/>
          </cell>
          <cell r="E157" t="str">
            <v>Roundings</v>
          </cell>
          <cell r="H157">
            <v>4</v>
          </cell>
          <cell r="I157">
            <v>-2</v>
          </cell>
          <cell r="J157">
            <v>7</v>
          </cell>
          <cell r="K157">
            <v>9</v>
          </cell>
          <cell r="L157">
            <v>3</v>
          </cell>
          <cell r="M157" t="str">
            <v xml:space="preserve"> </v>
          </cell>
          <cell r="N157">
            <v>3</v>
          </cell>
          <cell r="O157">
            <v>12</v>
          </cell>
          <cell r="P157" t="str">
            <v xml:space="preserve">n/a </v>
          </cell>
          <cell r="R157" t="str">
            <v>n/a</v>
          </cell>
        </row>
        <row r="159">
          <cell r="C159" t="str">
            <v>Total</v>
          </cell>
          <cell r="E159" t="str">
            <v>Total</v>
          </cell>
          <cell r="H159">
            <v>6455</v>
          </cell>
          <cell r="I159">
            <v>194</v>
          </cell>
          <cell r="J159">
            <v>48</v>
          </cell>
          <cell r="K159">
            <v>6697</v>
          </cell>
          <cell r="L159">
            <v>15294</v>
          </cell>
          <cell r="N159">
            <v>1399</v>
          </cell>
          <cell r="O159">
            <v>8096</v>
          </cell>
        </row>
        <row r="161">
          <cell r="C161" t="str">
            <v>Enter footnote reference</v>
          </cell>
          <cell r="D161" t="str">
            <v>&gt;&gt;&gt;</v>
          </cell>
          <cell r="E161" t="str">
            <v>a</v>
          </cell>
          <cell r="F161" t="str">
            <v>This component is attributed on a % basis so no volume or unit cost is derivable.</v>
          </cell>
        </row>
        <row r="162">
          <cell r="C162" t="str">
            <v>Enter footnote reference</v>
          </cell>
          <cell r="D162" t="str">
            <v>&gt;&gt;&gt;</v>
          </cell>
          <cell r="E162" t="str">
            <v>b</v>
          </cell>
          <cell r="F162" t="str">
            <v>See glossary for volume unit descriptors.</v>
          </cell>
        </row>
        <row r="163">
          <cell r="C163" t="str">
            <v>Enter footnote reference</v>
          </cell>
          <cell r="D163" t="str">
            <v>&gt;&gt;&gt;</v>
          </cell>
          <cell r="E163" t="str">
            <v>n</v>
          </cell>
          <cell r="F163" t="str">
            <v>Accounting Separation components require no costs to be disclosed.</v>
          </cell>
        </row>
        <row r="165">
          <cell r="G165" t="str">
            <v>Adjust NSOC Total&gt;&gt;&gt;</v>
          </cell>
          <cell r="H165">
            <v>-1</v>
          </cell>
          <cell r="J165">
            <v>1</v>
          </cell>
          <cell r="L165">
            <v>-1</v>
          </cell>
        </row>
        <row r="170">
          <cell r="C170" t="str">
            <v>Accounting Separation (AS)</v>
          </cell>
          <cell r="E170" t="str">
            <v xml:space="preserve"> (detail not shown on statement, shown here for completeness/checking)</v>
          </cell>
        </row>
        <row r="171">
          <cell r="C171" t="str">
            <v>CL163</v>
          </cell>
          <cell r="D171" t="str">
            <v>CL163</v>
          </cell>
          <cell r="E171" t="str">
            <v>ISDN30 connections</v>
          </cell>
          <cell r="G171" t="str">
            <v>(n)</v>
          </cell>
          <cell r="H171">
            <v>7</v>
          </cell>
          <cell r="I171">
            <v>0</v>
          </cell>
          <cell r="J171">
            <v>0</v>
          </cell>
          <cell r="K171">
            <v>7</v>
          </cell>
          <cell r="L171">
            <v>6</v>
          </cell>
          <cell r="M171">
            <v>9.6999999999999993</v>
          </cell>
          <cell r="N171">
            <v>1</v>
          </cell>
          <cell r="O171">
            <v>8</v>
          </cell>
          <cell r="P171" t="str">
            <v>(n)</v>
          </cell>
          <cell r="Q171" t="str">
            <v/>
          </cell>
          <cell r="R171" t="str">
            <v/>
          </cell>
        </row>
        <row r="172">
          <cell r="C172" t="str">
            <v>CL189</v>
          </cell>
          <cell r="D172" t="str">
            <v>CL189</v>
          </cell>
          <cell r="E172" t="str">
            <v>ISDN30 access</v>
          </cell>
          <cell r="G172" t="str">
            <v>(n)</v>
          </cell>
          <cell r="H172">
            <v>82</v>
          </cell>
          <cell r="I172">
            <v>-1</v>
          </cell>
          <cell r="J172">
            <v>13</v>
          </cell>
          <cell r="K172">
            <v>94</v>
          </cell>
          <cell r="L172">
            <v>184</v>
          </cell>
          <cell r="M172">
            <v>9.6999999999999993</v>
          </cell>
          <cell r="N172">
            <v>18</v>
          </cell>
          <cell r="O172">
            <v>112</v>
          </cell>
          <cell r="P172" t="str">
            <v>(n)</v>
          </cell>
          <cell r="Q172" t="str">
            <v/>
          </cell>
          <cell r="R172" t="str">
            <v/>
          </cell>
        </row>
        <row r="173">
          <cell r="C173" t="str">
            <v>CL190</v>
          </cell>
          <cell r="D173" t="str">
            <v>CL190</v>
          </cell>
          <cell r="E173" t="str">
            <v>ISDN30 line cards</v>
          </cell>
          <cell r="G173" t="str">
            <v>(n)</v>
          </cell>
          <cell r="H173">
            <v>13</v>
          </cell>
          <cell r="I173">
            <v>0</v>
          </cell>
          <cell r="J173">
            <v>1</v>
          </cell>
          <cell r="K173">
            <v>14</v>
          </cell>
          <cell r="L173">
            <v>21</v>
          </cell>
          <cell r="M173">
            <v>9.6999999999999993</v>
          </cell>
          <cell r="N173">
            <v>2</v>
          </cell>
          <cell r="O173">
            <v>16</v>
          </cell>
          <cell r="P173" t="str">
            <v>(n)</v>
          </cell>
          <cell r="Q173" t="str">
            <v/>
          </cell>
          <cell r="R173" t="str">
            <v/>
          </cell>
        </row>
        <row r="174">
          <cell r="C174" t="str">
            <v>CN017</v>
          </cell>
          <cell r="D174" t="str">
            <v>CN851</v>
          </cell>
          <cell r="E174" t="str">
            <v>Access Cards (ISDN30 services)</v>
          </cell>
          <cell r="G174" t="str">
            <v>(n)</v>
          </cell>
          <cell r="H174">
            <v>1</v>
          </cell>
          <cell r="I174">
            <v>0</v>
          </cell>
          <cell r="J174">
            <v>0</v>
          </cell>
          <cell r="K174">
            <v>1</v>
          </cell>
          <cell r="L174">
            <v>2</v>
          </cell>
          <cell r="M174">
            <v>9.6999999999999993</v>
          </cell>
          <cell r="N174">
            <v>0</v>
          </cell>
          <cell r="O174">
            <v>1</v>
          </cell>
          <cell r="P174" t="str">
            <v>(n)</v>
          </cell>
          <cell r="Q174" t="str">
            <v/>
          </cell>
          <cell r="R174" t="str">
            <v/>
          </cell>
        </row>
        <row r="176">
          <cell r="E176" t="str">
            <v xml:space="preserve"> </v>
          </cell>
        </row>
        <row r="177">
          <cell r="C177" t="str">
            <v>Residual</v>
          </cell>
          <cell r="E177" t="str">
            <v xml:space="preserve"> (detail not shown on statement, shown here for completeness/checking)</v>
          </cell>
          <cell r="L177" t="str">
            <v xml:space="preserve"> </v>
          </cell>
          <cell r="M177" t="str">
            <v xml:space="preserve"> </v>
          </cell>
        </row>
        <row r="178">
          <cell r="C178" t="str">
            <v>CV002</v>
          </cell>
          <cell r="D178" t="str">
            <v>CO220+CO221</v>
          </cell>
          <cell r="E178" t="str">
            <v>Main exchange switching</v>
          </cell>
          <cell r="G178" t="str">
            <v>(n)</v>
          </cell>
          <cell r="H178">
            <v>19</v>
          </cell>
          <cell r="I178">
            <v>0</v>
          </cell>
          <cell r="J178">
            <v>0</v>
          </cell>
          <cell r="K178">
            <v>19</v>
          </cell>
          <cell r="L178">
            <v>45</v>
          </cell>
          <cell r="M178">
            <v>9.6999999999999993</v>
          </cell>
          <cell r="N178">
            <v>4</v>
          </cell>
          <cell r="O178">
            <v>23</v>
          </cell>
          <cell r="P178" t="str">
            <v>(n)</v>
          </cell>
          <cell r="Q178" t="str">
            <v/>
          </cell>
          <cell r="R178" t="str">
            <v>(n)</v>
          </cell>
        </row>
        <row r="179">
          <cell r="C179" t="str">
            <v>CO330</v>
          </cell>
          <cell r="D179" t="str">
            <v>CO330</v>
          </cell>
          <cell r="E179" t="str">
            <v>Local - tandem transmission link</v>
          </cell>
          <cell r="G179" t="str">
            <v/>
          </cell>
          <cell r="H179">
            <v>21</v>
          </cell>
          <cell r="I179">
            <v>0</v>
          </cell>
          <cell r="J179">
            <v>0</v>
          </cell>
          <cell r="K179">
            <v>21</v>
          </cell>
          <cell r="L179">
            <v>25</v>
          </cell>
          <cell r="M179">
            <v>9.6999999999999993</v>
          </cell>
          <cell r="N179">
            <v>2</v>
          </cell>
          <cell r="O179">
            <v>23</v>
          </cell>
          <cell r="P179">
            <v>69309</v>
          </cell>
          <cell r="Q179" t="str">
            <v>mm</v>
          </cell>
          <cell r="R179">
            <v>3.3794463922434313E-2</v>
          </cell>
        </row>
        <row r="180">
          <cell r="C180" t="str">
            <v>CO340</v>
          </cell>
          <cell r="D180" t="str">
            <v>CO340</v>
          </cell>
          <cell r="E180" t="str">
            <v>Local - tandem transmission length</v>
          </cell>
          <cell r="G180" t="str">
            <v>(c)</v>
          </cell>
          <cell r="H180">
            <v>8</v>
          </cell>
          <cell r="I180">
            <v>1</v>
          </cell>
          <cell r="J180">
            <v>-4</v>
          </cell>
          <cell r="K180">
            <v>5</v>
          </cell>
          <cell r="L180">
            <v>85</v>
          </cell>
          <cell r="M180">
            <v>9.6999999999999993</v>
          </cell>
          <cell r="N180">
            <v>8</v>
          </cell>
          <cell r="O180">
            <v>13</v>
          </cell>
          <cell r="P180">
            <v>280045</v>
          </cell>
          <cell r="Q180" t="str">
            <v>mm</v>
          </cell>
          <cell r="R180">
            <v>5.0538941955757108E-3</v>
          </cell>
        </row>
        <row r="181">
          <cell r="C181" t="str">
            <v>CO418</v>
          </cell>
          <cell r="D181" t="str">
            <v>CO418</v>
          </cell>
          <cell r="E181" t="str">
            <v>64kbit/s PC link connection cct rearrangements</v>
          </cell>
          <cell r="G181" t="str">
            <v/>
          </cell>
          <cell r="H181">
            <v>1</v>
          </cell>
          <cell r="I181">
            <v>0</v>
          </cell>
          <cell r="J181">
            <v>0</v>
          </cell>
          <cell r="K181">
            <v>1</v>
          </cell>
          <cell r="L181">
            <v>0</v>
          </cell>
          <cell r="M181">
            <v>9.6999999999999993</v>
          </cell>
          <cell r="N181">
            <v>0</v>
          </cell>
          <cell r="O181">
            <v>1</v>
          </cell>
          <cell r="P181">
            <v>435</v>
          </cell>
          <cell r="Q181" t="str">
            <v>circuits</v>
          </cell>
          <cell r="R181">
            <v>0</v>
          </cell>
        </row>
        <row r="182">
          <cell r="C182" t="str">
            <v>CO474</v>
          </cell>
          <cell r="D182" t="str">
            <v>CO474</v>
          </cell>
          <cell r="E182" t="str">
            <v>PPC support services</v>
          </cell>
          <cell r="G182" t="str">
            <v/>
          </cell>
          <cell r="H182">
            <v>3</v>
          </cell>
          <cell r="I182">
            <v>0</v>
          </cell>
          <cell r="J182">
            <v>0</v>
          </cell>
          <cell r="K182">
            <v>3</v>
          </cell>
          <cell r="L182">
            <v>13</v>
          </cell>
          <cell r="M182">
            <v>9.6999999999999993</v>
          </cell>
          <cell r="N182">
            <v>1</v>
          </cell>
          <cell r="O182">
            <v>4</v>
          </cell>
          <cell r="P182" t="str">
            <v>(a)</v>
          </cell>
          <cell r="Q182" t="str">
            <v/>
          </cell>
          <cell r="R182" t="str">
            <v>(a)</v>
          </cell>
        </row>
        <row r="183">
          <cell r="C183" t="str">
            <v>CO401</v>
          </cell>
          <cell r="D183" t="str">
            <v>CO401</v>
          </cell>
          <cell r="E183" t="str">
            <v>Netstream equipment</v>
          </cell>
          <cell r="G183" t="str">
            <v/>
          </cell>
          <cell r="H183">
            <v>0</v>
          </cell>
          <cell r="I183">
            <v>0</v>
          </cell>
          <cell r="J183">
            <v>0</v>
          </cell>
          <cell r="K183">
            <v>0</v>
          </cell>
          <cell r="L183">
            <v>0</v>
          </cell>
          <cell r="M183">
            <v>9.6999999999999993</v>
          </cell>
          <cell r="N183">
            <v>0</v>
          </cell>
          <cell r="O183">
            <v>0</v>
          </cell>
          <cell r="P183" t="str">
            <v>(a)</v>
          </cell>
          <cell r="Q183" t="str">
            <v/>
          </cell>
          <cell r="R183" t="str">
            <v>(a)</v>
          </cell>
        </row>
        <row r="184">
          <cell r="C184" t="str">
            <v>CT454</v>
          </cell>
          <cell r="D184" t="str">
            <v>CT454</v>
          </cell>
          <cell r="E184" t="str">
            <v>Wholesale &amp; LAN extension services BNS</v>
          </cell>
          <cell r="G184" t="str">
            <v/>
          </cell>
          <cell r="H184">
            <v>1</v>
          </cell>
          <cell r="I184">
            <v>0</v>
          </cell>
          <cell r="J184">
            <v>0</v>
          </cell>
          <cell r="K184">
            <v>1</v>
          </cell>
          <cell r="L184">
            <v>2</v>
          </cell>
          <cell r="M184">
            <v>9.6999999999999993</v>
          </cell>
          <cell r="N184">
            <v>0</v>
          </cell>
          <cell r="O184">
            <v>1</v>
          </cell>
          <cell r="P184">
            <v>579</v>
          </cell>
          <cell r="Q184" t="str">
            <v>circuits</v>
          </cell>
          <cell r="R184">
            <v>1647.1865284974094</v>
          </cell>
        </row>
        <row r="185">
          <cell r="C185" t="str">
            <v>CT453</v>
          </cell>
          <cell r="D185" t="str">
            <v>CT453</v>
          </cell>
          <cell r="E185" t="str">
            <v>Wholesale &amp; LAN extension services BNS electronics</v>
          </cell>
          <cell r="G185" t="str">
            <v/>
          </cell>
          <cell r="H185">
            <v>1</v>
          </cell>
          <cell r="I185">
            <v>0</v>
          </cell>
          <cell r="J185">
            <v>0</v>
          </cell>
          <cell r="K185">
            <v>1</v>
          </cell>
          <cell r="L185">
            <v>2</v>
          </cell>
          <cell r="M185">
            <v>9.6999999999999993</v>
          </cell>
          <cell r="N185">
            <v>0</v>
          </cell>
          <cell r="O185">
            <v>1</v>
          </cell>
          <cell r="P185">
            <v>2107</v>
          </cell>
          <cell r="Q185" t="str">
            <v>circuits</v>
          </cell>
          <cell r="R185">
            <v>813.27527289985767</v>
          </cell>
        </row>
        <row r="186">
          <cell r="C186" t="str">
            <v>CO136</v>
          </cell>
          <cell r="D186" t="str">
            <v>CR136</v>
          </cell>
          <cell r="E186" t="str">
            <v>SDSL connections</v>
          </cell>
          <cell r="G186" t="str">
            <v/>
          </cell>
          <cell r="H186">
            <v>0</v>
          </cell>
          <cell r="I186">
            <v>0</v>
          </cell>
          <cell r="J186">
            <v>0</v>
          </cell>
          <cell r="K186">
            <v>0</v>
          </cell>
          <cell r="L186">
            <v>0</v>
          </cell>
          <cell r="M186">
            <v>9.5060000000000002</v>
          </cell>
          <cell r="N186">
            <v>0</v>
          </cell>
          <cell r="O186">
            <v>0</v>
          </cell>
          <cell r="P186">
            <v>465</v>
          </cell>
          <cell r="Q186" t="str">
            <v>conns</v>
          </cell>
          <cell r="R186">
            <v>36.092473118279571</v>
          </cell>
        </row>
        <row r="187">
          <cell r="C187" t="str">
            <v>CKT13</v>
          </cell>
          <cell r="D187" t="str">
            <v>CKT13</v>
          </cell>
          <cell r="E187" t="str">
            <v>Service assurance Retail</v>
          </cell>
          <cell r="G187" t="str">
            <v/>
          </cell>
          <cell r="H187">
            <v>0</v>
          </cell>
          <cell r="I187">
            <v>0</v>
          </cell>
          <cell r="J187">
            <v>0</v>
          </cell>
          <cell r="K187">
            <v>0</v>
          </cell>
          <cell r="L187">
            <v>0</v>
          </cell>
          <cell r="M187">
            <v>8.8000000000000007</v>
          </cell>
          <cell r="N187">
            <v>0</v>
          </cell>
          <cell r="O187">
            <v>0</v>
          </cell>
          <cell r="P187" t="str">
            <v>(a)</v>
          </cell>
          <cell r="Q187" t="str">
            <v/>
          </cell>
          <cell r="R187" t="str">
            <v>(a)</v>
          </cell>
        </row>
        <row r="188">
          <cell r="C188" t="str">
            <v>CKT14</v>
          </cell>
          <cell r="D188" t="str">
            <v>CKT14</v>
          </cell>
          <cell r="E188" t="str">
            <v>CHECK</v>
          </cell>
          <cell r="G188" t="str">
            <v/>
          </cell>
          <cell r="Q188" t="str">
            <v/>
          </cell>
          <cell r="R188">
            <v>0</v>
          </cell>
        </row>
        <row r="189">
          <cell r="C189" t="str">
            <v>CL170</v>
          </cell>
          <cell r="D189" t="str">
            <v>CL170</v>
          </cell>
          <cell r="E189" t="str">
            <v>Internal LLU Tie Cables</v>
          </cell>
          <cell r="G189" t="str">
            <v/>
          </cell>
          <cell r="H189">
            <v>22</v>
          </cell>
          <cell r="I189">
            <v>3</v>
          </cell>
          <cell r="J189">
            <v>-5</v>
          </cell>
          <cell r="K189">
            <v>20</v>
          </cell>
          <cell r="L189">
            <v>110</v>
          </cell>
          <cell r="M189">
            <v>8.8000000000000007</v>
          </cell>
          <cell r="N189">
            <v>10</v>
          </cell>
          <cell r="O189">
            <v>30</v>
          </cell>
          <cell r="P189">
            <v>929850</v>
          </cell>
          <cell r="Q189" t="str">
            <v>cables</v>
          </cell>
          <cell r="R189">
            <v>32.039074044200675</v>
          </cell>
        </row>
        <row r="190">
          <cell r="C190" t="str">
            <v>CO989</v>
          </cell>
          <cell r="D190" t="str">
            <v>CO989</v>
          </cell>
          <cell r="E190" t="str">
            <v>Special Fault Investigation</v>
          </cell>
          <cell r="G190" t="str">
            <v/>
          </cell>
          <cell r="H190">
            <v>49</v>
          </cell>
          <cell r="I190">
            <v>0</v>
          </cell>
          <cell r="J190">
            <v>0</v>
          </cell>
          <cell r="K190">
            <v>49</v>
          </cell>
          <cell r="L190">
            <v>-2</v>
          </cell>
          <cell r="M190">
            <v>9.6999999999999993</v>
          </cell>
          <cell r="N190">
            <v>0</v>
          </cell>
          <cell r="O190">
            <v>49</v>
          </cell>
          <cell r="P190">
            <v>216771</v>
          </cell>
          <cell r="Q190" t="str">
            <v>misc</v>
          </cell>
          <cell r="R190">
            <v>2.2565269800849743E-2</v>
          </cell>
        </row>
        <row r="191">
          <cell r="C191" t="str">
            <v>CB001</v>
          </cell>
          <cell r="D191" t="str">
            <v>CM301</v>
          </cell>
          <cell r="E191" t="str">
            <v>OR Int WBA end user access-conns</v>
          </cell>
          <cell r="G191" t="str">
            <v/>
          </cell>
          <cell r="H191">
            <v>55</v>
          </cell>
          <cell r="I191">
            <v>0</v>
          </cell>
          <cell r="J191">
            <v>0</v>
          </cell>
          <cell r="K191">
            <v>55</v>
          </cell>
          <cell r="L191">
            <v>-3</v>
          </cell>
          <cell r="M191">
            <v>9.6999999999999993</v>
          </cell>
          <cell r="N191">
            <v>0</v>
          </cell>
          <cell r="O191">
            <v>55</v>
          </cell>
          <cell r="P191" t="str">
            <v>(a)</v>
          </cell>
          <cell r="Q191" t="str">
            <v/>
          </cell>
          <cell r="R191" t="str">
            <v>(a)</v>
          </cell>
        </row>
        <row r="192">
          <cell r="C192" t="str">
            <v>CB367</v>
          </cell>
          <cell r="D192" t="str">
            <v>CB367</v>
          </cell>
          <cell r="E192" t="str">
            <v>ISC to frontier link</v>
          </cell>
          <cell r="G192" t="str">
            <v/>
          </cell>
          <cell r="H192">
            <v>4</v>
          </cell>
          <cell r="I192">
            <v>-1</v>
          </cell>
          <cell r="J192">
            <v>0</v>
          </cell>
          <cell r="K192">
            <v>3</v>
          </cell>
          <cell r="L192">
            <v>8</v>
          </cell>
          <cell r="M192">
            <v>9.6999999999999993</v>
          </cell>
          <cell r="N192">
            <v>1</v>
          </cell>
          <cell r="O192">
            <v>4</v>
          </cell>
          <cell r="P192">
            <v>100</v>
          </cell>
          <cell r="Q192" t="str">
            <v>misc</v>
          </cell>
          <cell r="R192">
            <v>41398</v>
          </cell>
        </row>
        <row r="193">
          <cell r="C193" t="str">
            <v>CB451</v>
          </cell>
          <cell r="D193" t="str">
            <v>CB451</v>
          </cell>
          <cell r="E193" t="str">
            <v>Radiostream links</v>
          </cell>
          <cell r="G193" t="str">
            <v/>
          </cell>
          <cell r="H193">
            <v>0</v>
          </cell>
          <cell r="I193">
            <v>0</v>
          </cell>
          <cell r="J193">
            <v>0</v>
          </cell>
          <cell r="K193">
            <v>0</v>
          </cell>
          <cell r="L193">
            <v>0</v>
          </cell>
          <cell r="M193">
            <v>9.6999999999999993</v>
          </cell>
          <cell r="N193">
            <v>0</v>
          </cell>
          <cell r="O193">
            <v>0</v>
          </cell>
          <cell r="P193">
            <v>5</v>
          </cell>
          <cell r="Q193" t="str">
            <v>links</v>
          </cell>
          <cell r="R193">
            <v>2088.8000000000002</v>
          </cell>
        </row>
        <row r="194">
          <cell r="C194" t="str">
            <v>CB561</v>
          </cell>
          <cell r="D194" t="str">
            <v>CB561</v>
          </cell>
          <cell r="E194" t="str">
            <v>Interconnect POLO CoNcert</v>
          </cell>
          <cell r="G194" t="str">
            <v/>
          </cell>
          <cell r="H194">
            <v>70</v>
          </cell>
          <cell r="I194">
            <v>0</v>
          </cell>
          <cell r="J194">
            <v>0</v>
          </cell>
          <cell r="K194">
            <v>70</v>
          </cell>
          <cell r="L194">
            <v>6</v>
          </cell>
          <cell r="M194">
            <v>9.6999999999999993</v>
          </cell>
          <cell r="N194">
            <v>1</v>
          </cell>
          <cell r="O194">
            <v>71</v>
          </cell>
          <cell r="P194">
            <v>70</v>
          </cell>
          <cell r="Q194" t="str">
            <v>mm</v>
          </cell>
          <cell r="R194">
            <v>100.5701</v>
          </cell>
        </row>
        <row r="195">
          <cell r="C195" t="str">
            <v>CB599</v>
          </cell>
          <cell r="D195" t="str">
            <v>CB599</v>
          </cell>
          <cell r="E195" t="str">
            <v>Interconnect Payments to OLOs</v>
          </cell>
          <cell r="G195" t="str">
            <v/>
          </cell>
          <cell r="H195">
            <v>1213</v>
          </cell>
          <cell r="I195">
            <v>0</v>
          </cell>
          <cell r="J195">
            <v>0</v>
          </cell>
          <cell r="K195">
            <v>1213</v>
          </cell>
          <cell r="L195">
            <v>-499</v>
          </cell>
          <cell r="M195">
            <v>9.6999999999999993</v>
          </cell>
          <cell r="N195">
            <v>-48</v>
          </cell>
          <cell r="O195">
            <v>1165</v>
          </cell>
          <cell r="P195">
            <v>100</v>
          </cell>
          <cell r="Q195" t="str">
            <v>misc</v>
          </cell>
          <cell r="R195">
            <v>1164.9911870000001</v>
          </cell>
        </row>
        <row r="196">
          <cell r="C196" t="str">
            <v>CB782</v>
          </cell>
          <cell r="D196" t="str">
            <v>CB782</v>
          </cell>
          <cell r="E196" t="str">
            <v>Development</v>
          </cell>
          <cell r="G196" t="str">
            <v/>
          </cell>
          <cell r="H196">
            <v>1</v>
          </cell>
          <cell r="I196">
            <v>0</v>
          </cell>
          <cell r="J196">
            <v>0</v>
          </cell>
          <cell r="K196">
            <v>1</v>
          </cell>
          <cell r="L196">
            <v>3</v>
          </cell>
          <cell r="M196">
            <v>9.6999999999999993</v>
          </cell>
          <cell r="N196">
            <v>0</v>
          </cell>
          <cell r="O196">
            <v>1</v>
          </cell>
          <cell r="P196">
            <v>100</v>
          </cell>
          <cell r="Q196" t="str">
            <v>misc</v>
          </cell>
          <cell r="R196">
            <v>13516.96</v>
          </cell>
        </row>
        <row r="197">
          <cell r="C197" t="str">
            <v>CK980</v>
          </cell>
          <cell r="D197" t="str">
            <v>CK980</v>
          </cell>
          <cell r="E197" t="str">
            <v>Openreach Repayment works</v>
          </cell>
          <cell r="G197" t="str">
            <v/>
          </cell>
          <cell r="H197">
            <v>-19</v>
          </cell>
          <cell r="I197">
            <v>0</v>
          </cell>
          <cell r="J197">
            <v>0</v>
          </cell>
          <cell r="K197">
            <v>-19</v>
          </cell>
          <cell r="L197">
            <v>-39</v>
          </cell>
          <cell r="M197">
            <v>9.6999999999999993</v>
          </cell>
          <cell r="N197">
            <v>-4</v>
          </cell>
          <cell r="O197">
            <v>-23</v>
          </cell>
          <cell r="P197">
            <v>100</v>
          </cell>
          <cell r="Q197" t="str">
            <v>misc</v>
          </cell>
          <cell r="R197">
            <v>-228029.83</v>
          </cell>
        </row>
        <row r="198">
          <cell r="C198" t="str">
            <v>CK981</v>
          </cell>
          <cell r="D198" t="str">
            <v>CK981</v>
          </cell>
          <cell r="E198" t="str">
            <v>Openreach time related charges</v>
          </cell>
          <cell r="G198" t="str">
            <v/>
          </cell>
          <cell r="H198">
            <v>70</v>
          </cell>
          <cell r="I198">
            <v>0</v>
          </cell>
          <cell r="J198">
            <v>0</v>
          </cell>
          <cell r="K198">
            <v>70</v>
          </cell>
          <cell r="L198">
            <v>4</v>
          </cell>
          <cell r="M198">
            <v>9.6999999999999993</v>
          </cell>
          <cell r="N198">
            <v>0</v>
          </cell>
          <cell r="O198">
            <v>70</v>
          </cell>
          <cell r="P198">
            <v>100</v>
          </cell>
          <cell r="Q198" t="str">
            <v>misc</v>
          </cell>
          <cell r="R198">
            <v>706480.58</v>
          </cell>
        </row>
        <row r="199">
          <cell r="C199" t="str">
            <v>CK982</v>
          </cell>
          <cell r="D199" t="str">
            <v>CK982</v>
          </cell>
          <cell r="E199" t="str">
            <v>Openreach Managed Services for Wholesale</v>
          </cell>
          <cell r="G199" t="str">
            <v/>
          </cell>
          <cell r="H199">
            <v>0</v>
          </cell>
          <cell r="I199">
            <v>0</v>
          </cell>
          <cell r="J199">
            <v>0</v>
          </cell>
          <cell r="K199">
            <v>0</v>
          </cell>
          <cell r="L199">
            <v>0</v>
          </cell>
          <cell r="M199">
            <v>9.6999999999999993</v>
          </cell>
          <cell r="N199">
            <v>0</v>
          </cell>
          <cell r="O199">
            <v>0</v>
          </cell>
          <cell r="P199">
            <v>0</v>
          </cell>
          <cell r="Q199" t="str">
            <v>misc</v>
          </cell>
          <cell r="R199" t="e">
            <v>#DIV/0!</v>
          </cell>
        </row>
        <row r="200">
          <cell r="C200" t="str">
            <v>CK983</v>
          </cell>
          <cell r="D200" t="str">
            <v>CK983</v>
          </cell>
          <cell r="E200" t="str">
            <v>CHECK</v>
          </cell>
          <cell r="G200" t="str">
            <v/>
          </cell>
          <cell r="Q200" t="str">
            <v/>
          </cell>
          <cell r="R200">
            <v>0</v>
          </cell>
        </row>
        <row r="201">
          <cell r="C201" t="str">
            <v>CK984</v>
          </cell>
          <cell r="D201" t="str">
            <v>CK984</v>
          </cell>
          <cell r="E201" t="str">
            <v>Openreach Managed Services for Global</v>
          </cell>
          <cell r="G201" t="str">
            <v/>
          </cell>
          <cell r="H201">
            <v>0</v>
          </cell>
          <cell r="I201">
            <v>0</v>
          </cell>
          <cell r="J201">
            <v>0</v>
          </cell>
          <cell r="K201">
            <v>0</v>
          </cell>
          <cell r="L201">
            <v>0</v>
          </cell>
          <cell r="M201">
            <v>9.6999999999999993</v>
          </cell>
          <cell r="N201">
            <v>0</v>
          </cell>
          <cell r="O201">
            <v>0</v>
          </cell>
          <cell r="P201">
            <v>0</v>
          </cell>
          <cell r="Q201" t="str">
            <v>misc</v>
          </cell>
          <cell r="R201" t="e">
            <v>#DIV/0!</v>
          </cell>
        </row>
        <row r="202">
          <cell r="C202" t="str">
            <v>CK985</v>
          </cell>
          <cell r="D202" t="str">
            <v>CK985</v>
          </cell>
          <cell r="E202" t="str">
            <v>Openreach Managed Services for Retail Other</v>
          </cell>
          <cell r="G202" t="str">
            <v/>
          </cell>
          <cell r="H202">
            <v>17</v>
          </cell>
          <cell r="I202">
            <v>-1</v>
          </cell>
          <cell r="J202">
            <v>5</v>
          </cell>
          <cell r="K202">
            <v>21</v>
          </cell>
          <cell r="L202">
            <v>56</v>
          </cell>
          <cell r="M202">
            <v>9.6999999999999993</v>
          </cell>
          <cell r="N202">
            <v>5</v>
          </cell>
          <cell r="O202">
            <v>26</v>
          </cell>
          <cell r="P202">
            <v>100</v>
          </cell>
          <cell r="Q202" t="str">
            <v>misc</v>
          </cell>
          <cell r="R202">
            <v>273312.94</v>
          </cell>
        </row>
        <row r="203">
          <cell r="C203" t="str">
            <v>CK986</v>
          </cell>
          <cell r="D203" t="str">
            <v>CK986</v>
          </cell>
          <cell r="E203" t="str">
            <v>Openreach other activities</v>
          </cell>
          <cell r="G203" t="str">
            <v/>
          </cell>
          <cell r="H203">
            <v>-119</v>
          </cell>
          <cell r="I203">
            <v>0</v>
          </cell>
          <cell r="J203">
            <v>0</v>
          </cell>
          <cell r="K203">
            <v>-119</v>
          </cell>
          <cell r="L203">
            <v>5</v>
          </cell>
          <cell r="M203">
            <v>9.6999999999999993</v>
          </cell>
          <cell r="N203">
            <v>1</v>
          </cell>
          <cell r="O203">
            <v>-118</v>
          </cell>
          <cell r="P203">
            <v>100</v>
          </cell>
          <cell r="Q203" t="str">
            <v>misc</v>
          </cell>
          <cell r="R203">
            <v>-1182705.21</v>
          </cell>
        </row>
        <row r="204">
          <cell r="C204" t="str">
            <v>CK988</v>
          </cell>
          <cell r="D204" t="str">
            <v>CK988</v>
          </cell>
          <cell r="E204" t="str">
            <v>Openreach Total Care</v>
          </cell>
          <cell r="G204" t="str">
            <v/>
          </cell>
          <cell r="H204">
            <v>0</v>
          </cell>
          <cell r="I204">
            <v>0</v>
          </cell>
          <cell r="J204">
            <v>0</v>
          </cell>
          <cell r="K204">
            <v>0</v>
          </cell>
          <cell r="L204">
            <v>4</v>
          </cell>
          <cell r="M204">
            <v>9.6999999999999993</v>
          </cell>
          <cell r="N204">
            <v>0</v>
          </cell>
          <cell r="O204">
            <v>0</v>
          </cell>
          <cell r="P204">
            <v>100</v>
          </cell>
          <cell r="Q204" t="str">
            <v>misc</v>
          </cell>
          <cell r="R204">
            <v>4052.1</v>
          </cell>
        </row>
        <row r="205">
          <cell r="C205" t="str">
            <v>CKT11</v>
          </cell>
          <cell r="D205" t="str">
            <v>CKT11</v>
          </cell>
          <cell r="E205" t="str">
            <v>Low user scheme</v>
          </cell>
          <cell r="G205" t="str">
            <v/>
          </cell>
          <cell r="H205">
            <v>55</v>
          </cell>
          <cell r="I205">
            <v>0</v>
          </cell>
          <cell r="J205">
            <v>0</v>
          </cell>
          <cell r="K205">
            <v>55</v>
          </cell>
          <cell r="L205">
            <v>-2</v>
          </cell>
          <cell r="M205">
            <v>9.6999999999999993</v>
          </cell>
          <cell r="N205">
            <v>0</v>
          </cell>
          <cell r="O205">
            <v>55</v>
          </cell>
          <cell r="P205">
            <v>0</v>
          </cell>
          <cell r="Q205" t="str">
            <v>misc</v>
          </cell>
          <cell r="R205" t="e">
            <v>#DIV/0!</v>
          </cell>
        </row>
        <row r="206">
          <cell r="C206" t="str">
            <v>CL191</v>
          </cell>
          <cell r="D206" t="str">
            <v>CL191</v>
          </cell>
          <cell r="E206" t="str">
            <v>Public Payphones line cards</v>
          </cell>
          <cell r="G206" t="str">
            <v/>
          </cell>
          <cell r="H206">
            <v>0</v>
          </cell>
          <cell r="I206">
            <v>0</v>
          </cell>
          <cell r="J206">
            <v>0</v>
          </cell>
          <cell r="K206">
            <v>0</v>
          </cell>
          <cell r="L206">
            <v>0</v>
          </cell>
          <cell r="M206">
            <v>9.6999999999999993</v>
          </cell>
          <cell r="N206">
            <v>0</v>
          </cell>
          <cell r="O206">
            <v>0</v>
          </cell>
          <cell r="P206">
            <v>72</v>
          </cell>
          <cell r="Q206" t="str">
            <v>lines</v>
          </cell>
          <cell r="R206">
            <v>0</v>
          </cell>
        </row>
        <row r="207">
          <cell r="C207" t="str">
            <v>CO224</v>
          </cell>
          <cell r="D207" t="str">
            <v>CO224</v>
          </cell>
          <cell r="E207" t="str">
            <v>UCP equipment</v>
          </cell>
          <cell r="G207" t="str">
            <v/>
          </cell>
          <cell r="H207">
            <v>0</v>
          </cell>
          <cell r="I207">
            <v>0</v>
          </cell>
          <cell r="J207">
            <v>0</v>
          </cell>
          <cell r="K207">
            <v>0</v>
          </cell>
          <cell r="L207">
            <v>0</v>
          </cell>
          <cell r="M207">
            <v>9.6999999999999993</v>
          </cell>
          <cell r="N207">
            <v>0</v>
          </cell>
          <cell r="O207">
            <v>0</v>
          </cell>
          <cell r="P207">
            <v>279</v>
          </cell>
          <cell r="Q207" t="str">
            <v>mm</v>
          </cell>
          <cell r="R207">
            <v>9.3742652329749099E-2</v>
          </cell>
        </row>
        <row r="208">
          <cell r="C208" t="str">
            <v>CO227</v>
          </cell>
          <cell r="D208" t="str">
            <v>CO227</v>
          </cell>
          <cell r="E208" t="str">
            <v>ASU switches</v>
          </cell>
          <cell r="G208" t="str">
            <v/>
          </cell>
          <cell r="H208">
            <v>21</v>
          </cell>
          <cell r="I208">
            <v>0</v>
          </cell>
          <cell r="J208">
            <v>0</v>
          </cell>
          <cell r="K208">
            <v>21</v>
          </cell>
          <cell r="L208">
            <v>27</v>
          </cell>
          <cell r="M208">
            <v>9.6999999999999993</v>
          </cell>
          <cell r="N208">
            <v>3</v>
          </cell>
          <cell r="O208">
            <v>24</v>
          </cell>
          <cell r="P208">
            <v>100</v>
          </cell>
          <cell r="Q208" t="str">
            <v>misc</v>
          </cell>
          <cell r="R208">
            <v>235477.79</v>
          </cell>
        </row>
        <row r="209">
          <cell r="C209" t="str">
            <v>CO260</v>
          </cell>
          <cell r="D209" t="str">
            <v>CO260</v>
          </cell>
          <cell r="E209" t="str">
            <v>Cambridge Voice Intelligent Peripheral (VIP)</v>
          </cell>
          <cell r="G209" t="str">
            <v/>
          </cell>
          <cell r="H209">
            <v>11</v>
          </cell>
          <cell r="I209">
            <v>0</v>
          </cell>
          <cell r="J209">
            <v>0</v>
          </cell>
          <cell r="K209">
            <v>11</v>
          </cell>
          <cell r="L209">
            <v>15</v>
          </cell>
          <cell r="M209">
            <v>9.6999999999999993</v>
          </cell>
          <cell r="N209">
            <v>1</v>
          </cell>
          <cell r="O209">
            <v>12</v>
          </cell>
          <cell r="P209">
            <v>1235</v>
          </cell>
          <cell r="Q209" t="str">
            <v>mc</v>
          </cell>
          <cell r="R209">
            <v>1.0018021862348179</v>
          </cell>
        </row>
        <row r="210">
          <cell r="C210" t="str">
            <v>CO261</v>
          </cell>
          <cell r="D210" t="str">
            <v>CO261</v>
          </cell>
          <cell r="E210" t="str">
            <v>Intelligent Contact Manager</v>
          </cell>
          <cell r="G210" t="str">
            <v/>
          </cell>
          <cell r="H210">
            <v>9</v>
          </cell>
          <cell r="I210">
            <v>0</v>
          </cell>
          <cell r="J210">
            <v>0</v>
          </cell>
          <cell r="K210">
            <v>9</v>
          </cell>
          <cell r="L210">
            <v>11</v>
          </cell>
          <cell r="M210">
            <v>9.6999999999999993</v>
          </cell>
          <cell r="N210">
            <v>1</v>
          </cell>
          <cell r="O210">
            <v>10</v>
          </cell>
          <cell r="P210">
            <v>996</v>
          </cell>
          <cell r="Q210" t="str">
            <v>mc</v>
          </cell>
          <cell r="R210">
            <v>0.96011746987951807</v>
          </cell>
        </row>
        <row r="211">
          <cell r="C211" t="str">
            <v>CO262</v>
          </cell>
          <cell r="D211" t="str">
            <v>CO262</v>
          </cell>
          <cell r="E211" t="str">
            <v>I.N links</v>
          </cell>
          <cell r="G211" t="str">
            <v/>
          </cell>
          <cell r="H211">
            <v>1</v>
          </cell>
          <cell r="I211">
            <v>0</v>
          </cell>
          <cell r="J211">
            <v>0</v>
          </cell>
          <cell r="K211">
            <v>1</v>
          </cell>
          <cell r="L211">
            <v>3</v>
          </cell>
          <cell r="M211">
            <v>9.6999999999999993</v>
          </cell>
          <cell r="N211">
            <v>0</v>
          </cell>
          <cell r="O211">
            <v>1</v>
          </cell>
          <cell r="P211">
            <v>1871</v>
          </cell>
          <cell r="Q211" t="str">
            <v>mc</v>
          </cell>
          <cell r="R211">
            <v>4.2067129877071084E-2</v>
          </cell>
        </row>
        <row r="212">
          <cell r="C212" t="str">
            <v>CO266</v>
          </cell>
          <cell r="D212" t="str">
            <v>CO266</v>
          </cell>
          <cell r="E212" t="str">
            <v>Cambridge Infrastructure</v>
          </cell>
          <cell r="G212" t="str">
            <v/>
          </cell>
          <cell r="H212">
            <v>11</v>
          </cell>
          <cell r="I212">
            <v>0</v>
          </cell>
          <cell r="J212">
            <v>0</v>
          </cell>
          <cell r="K212">
            <v>11</v>
          </cell>
          <cell r="L212">
            <v>15</v>
          </cell>
          <cell r="M212">
            <v>9.6999999999999993</v>
          </cell>
          <cell r="N212">
            <v>1</v>
          </cell>
          <cell r="O212">
            <v>12</v>
          </cell>
          <cell r="P212">
            <v>3531</v>
          </cell>
          <cell r="Q212" t="str">
            <v>mc</v>
          </cell>
          <cell r="R212">
            <v>0.35612259983007649</v>
          </cell>
        </row>
        <row r="213">
          <cell r="C213" t="str">
            <v>CO270</v>
          </cell>
          <cell r="D213" t="str">
            <v>CO270</v>
          </cell>
          <cell r="E213" t="str">
            <v>Signalling Transfer Point</v>
          </cell>
          <cell r="G213" t="str">
            <v/>
          </cell>
          <cell r="H213">
            <v>5</v>
          </cell>
          <cell r="I213">
            <v>0</v>
          </cell>
          <cell r="J213">
            <v>0</v>
          </cell>
          <cell r="K213">
            <v>5</v>
          </cell>
          <cell r="L213">
            <v>8</v>
          </cell>
          <cell r="M213">
            <v>9.6999999999999993</v>
          </cell>
          <cell r="N213">
            <v>1</v>
          </cell>
          <cell r="O213">
            <v>6</v>
          </cell>
          <cell r="P213">
            <v>94</v>
          </cell>
          <cell r="Q213" t="str">
            <v>mc</v>
          </cell>
          <cell r="R213">
            <v>5.914192553191489</v>
          </cell>
        </row>
        <row r="214">
          <cell r="C214" t="str">
            <v>CO290</v>
          </cell>
          <cell r="D214" t="str">
            <v>CO290</v>
          </cell>
          <cell r="E214" t="str">
            <v>OR Network Features (external)</v>
          </cell>
          <cell r="G214" t="str">
            <v/>
          </cell>
          <cell r="H214">
            <v>2</v>
          </cell>
          <cell r="I214">
            <v>0</v>
          </cell>
          <cell r="J214">
            <v>0</v>
          </cell>
          <cell r="K214">
            <v>2</v>
          </cell>
          <cell r="L214">
            <v>6</v>
          </cell>
          <cell r="M214">
            <v>9.6999999999999993</v>
          </cell>
          <cell r="N214">
            <v>1</v>
          </cell>
          <cell r="O214">
            <v>3</v>
          </cell>
          <cell r="P214">
            <v>35</v>
          </cell>
          <cell r="Q214" t="str">
            <v>misc</v>
          </cell>
          <cell r="R214">
            <v>84660.257142857139</v>
          </cell>
        </row>
        <row r="215">
          <cell r="C215" t="str">
            <v>CO291</v>
          </cell>
          <cell r="D215" t="str">
            <v>CO291</v>
          </cell>
          <cell r="E215" t="str">
            <v>OR Network Features (internal)</v>
          </cell>
          <cell r="G215" t="str">
            <v/>
          </cell>
          <cell r="H215">
            <v>10</v>
          </cell>
          <cell r="I215">
            <v>0</v>
          </cell>
          <cell r="J215">
            <v>0</v>
          </cell>
          <cell r="K215">
            <v>10</v>
          </cell>
          <cell r="L215">
            <v>19</v>
          </cell>
          <cell r="M215">
            <v>9.6999999999999993</v>
          </cell>
          <cell r="N215">
            <v>2</v>
          </cell>
          <cell r="O215">
            <v>12</v>
          </cell>
          <cell r="P215">
            <v>65</v>
          </cell>
          <cell r="Q215" t="str">
            <v>misc</v>
          </cell>
          <cell r="R215">
            <v>188302.15384615384</v>
          </cell>
        </row>
        <row r="216">
          <cell r="C216" t="str">
            <v>CO360</v>
          </cell>
          <cell r="D216" t="str">
            <v>CO360</v>
          </cell>
          <cell r="E216" t="str">
            <v>Inter - tandem transmission link</v>
          </cell>
          <cell r="G216" t="str">
            <v/>
          </cell>
          <cell r="H216">
            <v>12</v>
          </cell>
          <cell r="I216">
            <v>0</v>
          </cell>
          <cell r="J216">
            <v>0</v>
          </cell>
          <cell r="K216">
            <v>12</v>
          </cell>
          <cell r="L216">
            <v>18</v>
          </cell>
          <cell r="M216">
            <v>9.6999999999999993</v>
          </cell>
          <cell r="N216">
            <v>2</v>
          </cell>
          <cell r="O216">
            <v>14</v>
          </cell>
          <cell r="P216">
            <v>51200</v>
          </cell>
          <cell r="Q216" t="str">
            <v>mm</v>
          </cell>
          <cell r="R216">
            <v>2.5670078124999999E-2</v>
          </cell>
        </row>
        <row r="217">
          <cell r="C217" t="str">
            <v>CO370</v>
          </cell>
          <cell r="D217" t="str">
            <v>CO370</v>
          </cell>
          <cell r="E217" t="str">
            <v>Inter - tandem transmission length</v>
          </cell>
          <cell r="G217" t="str">
            <v/>
          </cell>
          <cell r="H217">
            <v>6</v>
          </cell>
          <cell r="I217">
            <v>1</v>
          </cell>
          <cell r="J217">
            <v>-3</v>
          </cell>
          <cell r="K217">
            <v>4</v>
          </cell>
          <cell r="L217">
            <v>64</v>
          </cell>
          <cell r="M217">
            <v>9.6999999999999993</v>
          </cell>
          <cell r="N217">
            <v>6</v>
          </cell>
          <cell r="O217">
            <v>10</v>
          </cell>
          <cell r="P217">
            <v>778969</v>
          </cell>
          <cell r="Q217" t="str">
            <v>mm</v>
          </cell>
          <cell r="R217">
            <v>1.2939807617504675E-3</v>
          </cell>
        </row>
        <row r="218">
          <cell r="C218" t="str">
            <v>CO369</v>
          </cell>
          <cell r="D218" t="str">
            <v>CR369</v>
          </cell>
          <cell r="E218" t="str">
            <v>ASU links</v>
          </cell>
          <cell r="G218" t="str">
            <v/>
          </cell>
          <cell r="H218">
            <v>13</v>
          </cell>
          <cell r="I218">
            <v>3</v>
          </cell>
          <cell r="J218">
            <v>-2</v>
          </cell>
          <cell r="K218">
            <v>14</v>
          </cell>
          <cell r="L218">
            <v>96</v>
          </cell>
          <cell r="M218">
            <v>9.6999999999999993</v>
          </cell>
          <cell r="N218">
            <v>9</v>
          </cell>
          <cell r="O218">
            <v>23</v>
          </cell>
          <cell r="P218">
            <v>100</v>
          </cell>
          <cell r="Q218" t="str">
            <v>misc</v>
          </cell>
          <cell r="R218">
            <v>237656.68</v>
          </cell>
        </row>
        <row r="219">
          <cell r="C219" t="str">
            <v>CO377</v>
          </cell>
          <cell r="D219" t="str">
            <v>CR377</v>
          </cell>
          <cell r="E219" t="str">
            <v>WH PC rental 622Mbit/s link per km distribution</v>
          </cell>
          <cell r="G219" t="str">
            <v/>
          </cell>
          <cell r="H219">
            <v>5</v>
          </cell>
          <cell r="I219">
            <v>0</v>
          </cell>
          <cell r="J219">
            <v>-1</v>
          </cell>
          <cell r="K219">
            <v>4</v>
          </cell>
          <cell r="L219">
            <v>17</v>
          </cell>
          <cell r="M219">
            <v>9.6999999999999993</v>
          </cell>
          <cell r="N219">
            <v>2</v>
          </cell>
          <cell r="O219">
            <v>6</v>
          </cell>
          <cell r="P219">
            <v>598</v>
          </cell>
          <cell r="Q219" t="str">
            <v>km</v>
          </cell>
          <cell r="R219">
            <v>8991.1404682274242</v>
          </cell>
        </row>
        <row r="220">
          <cell r="C220" t="str">
            <v>CO387</v>
          </cell>
          <cell r="D220" t="str">
            <v>CR387</v>
          </cell>
          <cell r="E220" t="str">
            <v>WH PC rental 622Mbit/s link per link</v>
          </cell>
          <cell r="G220" t="str">
            <v/>
          </cell>
          <cell r="H220">
            <v>3</v>
          </cell>
          <cell r="I220">
            <v>0</v>
          </cell>
          <cell r="J220">
            <v>0</v>
          </cell>
          <cell r="K220">
            <v>3</v>
          </cell>
          <cell r="L220">
            <v>5</v>
          </cell>
          <cell r="M220">
            <v>9.6999999999999993</v>
          </cell>
          <cell r="N220">
            <v>0</v>
          </cell>
          <cell r="O220">
            <v>3</v>
          </cell>
          <cell r="P220">
            <v>40</v>
          </cell>
          <cell r="Q220" t="str">
            <v>links</v>
          </cell>
          <cell r="R220">
            <v>75334.3</v>
          </cell>
        </row>
        <row r="221">
          <cell r="C221" t="str">
            <v>CO405</v>
          </cell>
          <cell r="D221" t="str">
            <v>CO405</v>
          </cell>
          <cell r="E221" t="str">
            <v>DMS 100 Call Centre</v>
          </cell>
          <cell r="G221" t="str">
            <v/>
          </cell>
          <cell r="H221">
            <v>2</v>
          </cell>
          <cell r="I221">
            <v>0</v>
          </cell>
          <cell r="J221">
            <v>0</v>
          </cell>
          <cell r="K221">
            <v>2</v>
          </cell>
          <cell r="L221">
            <v>4</v>
          </cell>
          <cell r="M221">
            <v>9.6999999999999993</v>
          </cell>
          <cell r="N221">
            <v>0</v>
          </cell>
          <cell r="O221">
            <v>2</v>
          </cell>
          <cell r="P221">
            <v>100</v>
          </cell>
          <cell r="Q221" t="str">
            <v>mm</v>
          </cell>
          <cell r="R221">
            <v>2.7588059999999999</v>
          </cell>
        </row>
        <row r="222">
          <cell r="C222" t="str">
            <v>CO407</v>
          </cell>
          <cell r="D222" t="str">
            <v>CO407</v>
          </cell>
          <cell r="E222" t="str">
            <v>Carrier Pre Selection Operator set-up</v>
          </cell>
          <cell r="G222" t="str">
            <v/>
          </cell>
          <cell r="H222">
            <v>0</v>
          </cell>
          <cell r="I222">
            <v>0</v>
          </cell>
          <cell r="J222">
            <v>0</v>
          </cell>
          <cell r="K222">
            <v>0</v>
          </cell>
          <cell r="L222">
            <v>0</v>
          </cell>
          <cell r="M222">
            <v>9.6999999999999993</v>
          </cell>
          <cell r="N222">
            <v>0</v>
          </cell>
          <cell r="O222">
            <v>0</v>
          </cell>
          <cell r="P222">
            <v>305</v>
          </cell>
          <cell r="Q222" t="str">
            <v>trans</v>
          </cell>
          <cell r="R222">
            <v>54.826229508196718</v>
          </cell>
        </row>
        <row r="223">
          <cell r="C223" t="str">
            <v>CO408</v>
          </cell>
          <cell r="D223" t="str">
            <v>CO408</v>
          </cell>
          <cell r="E223" t="str">
            <v>Carrier Pre Selection Customer set-up</v>
          </cell>
          <cell r="G223" t="str">
            <v/>
          </cell>
          <cell r="H223">
            <v>2</v>
          </cell>
          <cell r="I223">
            <v>0</v>
          </cell>
          <cell r="J223">
            <v>0</v>
          </cell>
          <cell r="K223">
            <v>2</v>
          </cell>
          <cell r="L223">
            <v>0</v>
          </cell>
          <cell r="M223">
            <v>9.6999999999999993</v>
          </cell>
          <cell r="N223">
            <v>0</v>
          </cell>
          <cell r="O223">
            <v>2</v>
          </cell>
          <cell r="P223">
            <v>1169927</v>
          </cell>
          <cell r="Q223" t="str">
            <v>mm</v>
          </cell>
          <cell r="R223">
            <v>1.5138859091208255E-4</v>
          </cell>
        </row>
        <row r="224">
          <cell r="C224" t="str">
            <v>CO411</v>
          </cell>
          <cell r="D224" t="str">
            <v>CO411</v>
          </cell>
          <cell r="E224" t="str">
            <v>OR Analogue PC Link connection cct prov</v>
          </cell>
          <cell r="G224" t="str">
            <v/>
          </cell>
          <cell r="H224">
            <v>1</v>
          </cell>
          <cell r="I224">
            <v>0</v>
          </cell>
          <cell r="J224">
            <v>0</v>
          </cell>
          <cell r="K224">
            <v>1</v>
          </cell>
          <cell r="L224">
            <v>0</v>
          </cell>
          <cell r="M224">
            <v>10.263</v>
          </cell>
          <cell r="N224">
            <v>0</v>
          </cell>
          <cell r="O224">
            <v>1</v>
          </cell>
          <cell r="P224">
            <v>676</v>
          </cell>
          <cell r="Q224" t="str">
            <v>circuits</v>
          </cell>
          <cell r="R224">
            <v>847.65976331360946</v>
          </cell>
        </row>
        <row r="225">
          <cell r="C225" t="str">
            <v>CO414</v>
          </cell>
          <cell r="D225" t="str">
            <v>CO414</v>
          </cell>
          <cell r="E225" t="str">
            <v>Digital IPLC</v>
          </cell>
          <cell r="G225" t="str">
            <v/>
          </cell>
          <cell r="H225">
            <v>0</v>
          </cell>
          <cell r="I225">
            <v>0</v>
          </cell>
          <cell r="J225">
            <v>0</v>
          </cell>
          <cell r="K225">
            <v>0</v>
          </cell>
          <cell r="L225">
            <v>0</v>
          </cell>
          <cell r="M225">
            <v>9.6999999999999993</v>
          </cell>
          <cell r="N225">
            <v>0</v>
          </cell>
          <cell r="O225">
            <v>0</v>
          </cell>
          <cell r="P225">
            <v>100</v>
          </cell>
          <cell r="Q225" t="str">
            <v>misc</v>
          </cell>
          <cell r="R225">
            <v>187.1</v>
          </cell>
        </row>
        <row r="226">
          <cell r="C226" t="str">
            <v>CO415</v>
          </cell>
          <cell r="D226" t="str">
            <v>CO415</v>
          </cell>
          <cell r="E226" t="str">
            <v>Analogue IPLC</v>
          </cell>
          <cell r="G226" t="str">
            <v/>
          </cell>
          <cell r="H226">
            <v>0</v>
          </cell>
          <cell r="I226">
            <v>0</v>
          </cell>
          <cell r="J226">
            <v>0</v>
          </cell>
          <cell r="K226">
            <v>0</v>
          </cell>
          <cell r="L226">
            <v>0</v>
          </cell>
          <cell r="M226">
            <v>9.6999999999999993</v>
          </cell>
          <cell r="N226">
            <v>0</v>
          </cell>
          <cell r="O226">
            <v>0</v>
          </cell>
          <cell r="P226">
            <v>100</v>
          </cell>
          <cell r="Q226" t="str">
            <v>misc</v>
          </cell>
          <cell r="R226">
            <v>60.06</v>
          </cell>
        </row>
        <row r="227">
          <cell r="C227" t="str">
            <v>CO421</v>
          </cell>
          <cell r="D227" t="str">
            <v>CO421</v>
          </cell>
          <cell r="E227" t="str">
            <v>OR Analogue PC installation</v>
          </cell>
          <cell r="G227" t="str">
            <v/>
          </cell>
          <cell r="H227">
            <v>2</v>
          </cell>
          <cell r="I227">
            <v>0</v>
          </cell>
          <cell r="J227">
            <v>0</v>
          </cell>
          <cell r="K227">
            <v>2</v>
          </cell>
          <cell r="L227">
            <v>0</v>
          </cell>
          <cell r="M227">
            <v>11.259</v>
          </cell>
          <cell r="N227">
            <v>0</v>
          </cell>
          <cell r="O227">
            <v>2</v>
          </cell>
          <cell r="P227">
            <v>520</v>
          </cell>
          <cell r="Q227" t="str">
            <v>circuits</v>
          </cell>
          <cell r="R227">
            <v>3422.5461538461536</v>
          </cell>
        </row>
        <row r="228">
          <cell r="C228" t="str">
            <v>CO431</v>
          </cell>
          <cell r="D228" t="str">
            <v>CO431</v>
          </cell>
          <cell r="E228" t="str">
            <v>OR PC rental Analogue link local end</v>
          </cell>
          <cell r="G228" t="str">
            <v/>
          </cell>
          <cell r="H228">
            <v>2</v>
          </cell>
          <cell r="I228">
            <v>0</v>
          </cell>
          <cell r="J228">
            <v>0</v>
          </cell>
          <cell r="K228">
            <v>2</v>
          </cell>
          <cell r="L228">
            <v>17</v>
          </cell>
          <cell r="M228">
            <v>8.85</v>
          </cell>
          <cell r="N228">
            <v>2</v>
          </cell>
          <cell r="O228">
            <v>4</v>
          </cell>
          <cell r="P228">
            <v>56212</v>
          </cell>
          <cell r="Q228" t="str">
            <v>le</v>
          </cell>
          <cell r="R228">
            <v>70.811926279086322</v>
          </cell>
        </row>
        <row r="229">
          <cell r="C229" t="str">
            <v>CO437</v>
          </cell>
          <cell r="D229" t="str">
            <v>CO437</v>
          </cell>
          <cell r="E229" t="str">
            <v>OR PC rental 622Mbit/s link local end</v>
          </cell>
          <cell r="G229" t="str">
            <v/>
          </cell>
          <cell r="H229">
            <v>6</v>
          </cell>
          <cell r="I229">
            <v>0</v>
          </cell>
          <cell r="J229">
            <v>0</v>
          </cell>
          <cell r="K229">
            <v>6</v>
          </cell>
          <cell r="L229">
            <v>7</v>
          </cell>
          <cell r="M229">
            <v>9.6999999999999993</v>
          </cell>
          <cell r="N229">
            <v>1</v>
          </cell>
          <cell r="O229">
            <v>7</v>
          </cell>
          <cell r="P229">
            <v>150</v>
          </cell>
          <cell r="Q229" t="str">
            <v>le</v>
          </cell>
          <cell r="R229">
            <v>43174.91333333333</v>
          </cell>
        </row>
        <row r="230">
          <cell r="C230" t="str">
            <v>CO446</v>
          </cell>
          <cell r="D230" t="str">
            <v>CR446</v>
          </cell>
          <cell r="E230" t="str">
            <v>Public Payphones operations</v>
          </cell>
          <cell r="G230" t="str">
            <v/>
          </cell>
          <cell r="H230">
            <v>27</v>
          </cell>
          <cell r="I230">
            <v>0</v>
          </cell>
          <cell r="J230">
            <v>0</v>
          </cell>
          <cell r="K230">
            <v>27</v>
          </cell>
          <cell r="L230">
            <v>3</v>
          </cell>
          <cell r="M230">
            <v>9.6999999999999993</v>
          </cell>
          <cell r="N230">
            <v>0</v>
          </cell>
          <cell r="O230">
            <v>27</v>
          </cell>
          <cell r="P230">
            <v>72</v>
          </cell>
          <cell r="Q230" t="str">
            <v>mc</v>
          </cell>
          <cell r="R230">
            <v>38.065473611111109</v>
          </cell>
        </row>
        <row r="231">
          <cell r="C231" t="str">
            <v>CO461</v>
          </cell>
          <cell r="D231" t="str">
            <v>CO461</v>
          </cell>
          <cell r="E231" t="str">
            <v>Private Circuit test systems</v>
          </cell>
          <cell r="G231" t="str">
            <v/>
          </cell>
          <cell r="H231">
            <v>2</v>
          </cell>
          <cell r="I231">
            <v>0</v>
          </cell>
          <cell r="J231">
            <v>0</v>
          </cell>
          <cell r="K231">
            <v>2</v>
          </cell>
          <cell r="L231">
            <v>1</v>
          </cell>
          <cell r="M231">
            <v>9.6999999999999993</v>
          </cell>
          <cell r="N231">
            <v>0</v>
          </cell>
          <cell r="O231">
            <v>2</v>
          </cell>
          <cell r="P231">
            <v>53560</v>
          </cell>
          <cell r="Q231" t="str">
            <v>eq</v>
          </cell>
          <cell r="R231">
            <v>42.723300970873787</v>
          </cell>
        </row>
        <row r="232">
          <cell r="C232" t="str">
            <v>CO462</v>
          </cell>
          <cell r="D232" t="str">
            <v>CO462</v>
          </cell>
          <cell r="E232" t="str">
            <v>OR Private Circuit customer premises</v>
          </cell>
          <cell r="G232" t="str">
            <v/>
          </cell>
          <cell r="H232">
            <v>3</v>
          </cell>
          <cell r="I232">
            <v>0</v>
          </cell>
          <cell r="J232">
            <v>0</v>
          </cell>
          <cell r="K232">
            <v>3</v>
          </cell>
          <cell r="L232">
            <v>0</v>
          </cell>
          <cell r="M232">
            <v>9.6999999999999993</v>
          </cell>
          <cell r="N232">
            <v>0</v>
          </cell>
          <cell r="O232">
            <v>3</v>
          </cell>
          <cell r="P232">
            <v>53560</v>
          </cell>
          <cell r="Q232" t="str">
            <v>eq</v>
          </cell>
          <cell r="R232">
            <v>57.307972367438389</v>
          </cell>
        </row>
        <row r="233">
          <cell r="C233" t="str">
            <v>CO463</v>
          </cell>
          <cell r="D233" t="str">
            <v>CO463</v>
          </cell>
          <cell r="E233" t="str">
            <v>OR Private Circuit testing</v>
          </cell>
          <cell r="G233" t="str">
            <v/>
          </cell>
          <cell r="H233">
            <v>6</v>
          </cell>
          <cell r="I233">
            <v>0</v>
          </cell>
          <cell r="J233">
            <v>0</v>
          </cell>
          <cell r="K233">
            <v>6</v>
          </cell>
          <cell r="L233">
            <v>1</v>
          </cell>
          <cell r="M233">
            <v>9.6999999999999993</v>
          </cell>
          <cell r="N233">
            <v>0</v>
          </cell>
          <cell r="O233">
            <v>6</v>
          </cell>
          <cell r="P233">
            <v>53560</v>
          </cell>
          <cell r="Q233" t="str">
            <v>eq</v>
          </cell>
          <cell r="R233">
            <v>106.545070948469</v>
          </cell>
        </row>
        <row r="234">
          <cell r="C234" t="str">
            <v>CO483</v>
          </cell>
          <cell r="D234" t="str">
            <v>CO483</v>
          </cell>
          <cell r="E234" t="str">
            <v>Flexible Bandwidth Services</v>
          </cell>
          <cell r="G234" t="str">
            <v/>
          </cell>
          <cell r="H234">
            <v>0</v>
          </cell>
          <cell r="I234">
            <v>0</v>
          </cell>
          <cell r="J234">
            <v>0</v>
          </cell>
          <cell r="K234">
            <v>0</v>
          </cell>
          <cell r="L234">
            <v>0</v>
          </cell>
          <cell r="M234">
            <v>9.6999999999999993</v>
          </cell>
          <cell r="N234">
            <v>0</v>
          </cell>
          <cell r="O234">
            <v>0</v>
          </cell>
          <cell r="P234">
            <v>100</v>
          </cell>
          <cell r="Q234" t="str">
            <v>misc</v>
          </cell>
          <cell r="R234">
            <v>-1.54</v>
          </cell>
        </row>
        <row r="235">
          <cell r="C235" t="str">
            <v>CO495</v>
          </cell>
          <cell r="D235" t="str">
            <v>CO495</v>
          </cell>
          <cell r="E235" t="str">
            <v>IP Switch Transmission</v>
          </cell>
          <cell r="G235" t="str">
            <v/>
          </cell>
          <cell r="H235">
            <v>5</v>
          </cell>
          <cell r="I235">
            <v>0</v>
          </cell>
          <cell r="J235">
            <v>-1</v>
          </cell>
          <cell r="K235">
            <v>4</v>
          </cell>
          <cell r="L235">
            <v>23</v>
          </cell>
          <cell r="M235">
            <v>9.6999999999999993</v>
          </cell>
          <cell r="N235">
            <v>2</v>
          </cell>
          <cell r="O235">
            <v>6</v>
          </cell>
          <cell r="P235">
            <v>406227</v>
          </cell>
          <cell r="Q235" t="str">
            <v>usage</v>
          </cell>
          <cell r="R235">
            <v>14.373318366332125</v>
          </cell>
        </row>
        <row r="236">
          <cell r="C236" t="str">
            <v>CO550</v>
          </cell>
          <cell r="D236" t="str">
            <v>CR550</v>
          </cell>
          <cell r="E236" t="str">
            <v>PPCs 34/45Mbit/s Link CELA</v>
          </cell>
          <cell r="G236" t="str">
            <v/>
          </cell>
          <cell r="H236">
            <v>1</v>
          </cell>
          <cell r="I236">
            <v>0</v>
          </cell>
          <cell r="J236">
            <v>0</v>
          </cell>
          <cell r="K236">
            <v>1</v>
          </cell>
          <cell r="L236">
            <v>2</v>
          </cell>
          <cell r="M236">
            <v>9.6999999999999993</v>
          </cell>
          <cell r="N236">
            <v>0</v>
          </cell>
          <cell r="O236">
            <v>1</v>
          </cell>
          <cell r="P236">
            <v>296</v>
          </cell>
          <cell r="Q236" t="str">
            <v>links</v>
          </cell>
          <cell r="R236">
            <v>3356.0945945945946</v>
          </cell>
        </row>
        <row r="237">
          <cell r="C237" t="str">
            <v>CO551</v>
          </cell>
          <cell r="D237" t="str">
            <v>CR551</v>
          </cell>
          <cell r="E237" t="str">
            <v>PPCs 34/45Mbit/s Distribution CELA</v>
          </cell>
          <cell r="G237" t="str">
            <v/>
          </cell>
          <cell r="H237">
            <v>1</v>
          </cell>
          <cell r="I237">
            <v>0</v>
          </cell>
          <cell r="J237">
            <v>0</v>
          </cell>
          <cell r="K237">
            <v>1</v>
          </cell>
          <cell r="L237">
            <v>2</v>
          </cell>
          <cell r="M237">
            <v>9.6999999999999993</v>
          </cell>
          <cell r="N237">
            <v>0</v>
          </cell>
          <cell r="O237">
            <v>1</v>
          </cell>
          <cell r="P237">
            <v>2717</v>
          </cell>
          <cell r="Q237" t="str">
            <v>km</v>
          </cell>
          <cell r="R237">
            <v>390.3894000736106</v>
          </cell>
        </row>
        <row r="238">
          <cell r="C238" t="str">
            <v>CO552</v>
          </cell>
          <cell r="D238" t="str">
            <v>CO552</v>
          </cell>
          <cell r="E238" t="str">
            <v>PPCs 34/45Mbit/s Local Ends CELA</v>
          </cell>
          <cell r="G238" t="str">
            <v/>
          </cell>
          <cell r="H238">
            <v>0</v>
          </cell>
          <cell r="I238">
            <v>0</v>
          </cell>
          <cell r="J238">
            <v>0</v>
          </cell>
          <cell r="K238">
            <v>0</v>
          </cell>
          <cell r="L238">
            <v>0</v>
          </cell>
          <cell r="M238">
            <v>9.6999999999999993</v>
          </cell>
          <cell r="N238">
            <v>0</v>
          </cell>
          <cell r="O238">
            <v>0</v>
          </cell>
          <cell r="P238">
            <v>476</v>
          </cell>
          <cell r="Q238" t="str">
            <v>le</v>
          </cell>
          <cell r="R238">
            <v>1071.6953781512605</v>
          </cell>
        </row>
        <row r="239">
          <cell r="C239" t="str">
            <v>CO553</v>
          </cell>
          <cell r="D239" t="str">
            <v>CR553</v>
          </cell>
          <cell r="E239" t="str">
            <v>PPCs 140/155Mbit/s Link CELA</v>
          </cell>
          <cell r="G239" t="str">
            <v/>
          </cell>
          <cell r="H239">
            <v>1</v>
          </cell>
          <cell r="I239">
            <v>0</v>
          </cell>
          <cell r="J239">
            <v>0</v>
          </cell>
          <cell r="K239">
            <v>1</v>
          </cell>
          <cell r="L239">
            <v>1</v>
          </cell>
          <cell r="M239">
            <v>9.6999999999999993</v>
          </cell>
          <cell r="N239">
            <v>0</v>
          </cell>
          <cell r="O239">
            <v>1</v>
          </cell>
          <cell r="P239">
            <v>136</v>
          </cell>
          <cell r="Q239" t="str">
            <v>links</v>
          </cell>
          <cell r="R239">
            <v>6327.8088235294117</v>
          </cell>
        </row>
        <row r="240">
          <cell r="C240" t="str">
            <v>CO554</v>
          </cell>
          <cell r="D240" t="str">
            <v>CR554</v>
          </cell>
          <cell r="E240" t="str">
            <v>PPCs 140/155Mbit/s Distribution CELA</v>
          </cell>
          <cell r="G240" t="str">
            <v/>
          </cell>
          <cell r="H240">
            <v>0</v>
          </cell>
          <cell r="I240">
            <v>0</v>
          </cell>
          <cell r="J240">
            <v>0</v>
          </cell>
          <cell r="K240">
            <v>0</v>
          </cell>
          <cell r="L240">
            <v>1</v>
          </cell>
          <cell r="M240">
            <v>9.6999999999999993</v>
          </cell>
          <cell r="N240">
            <v>0</v>
          </cell>
          <cell r="O240">
            <v>0</v>
          </cell>
          <cell r="P240">
            <v>1545</v>
          </cell>
          <cell r="Q240" t="str">
            <v>km</v>
          </cell>
          <cell r="R240">
            <v>285.1281553398058</v>
          </cell>
        </row>
        <row r="241">
          <cell r="C241" t="str">
            <v>CO555</v>
          </cell>
          <cell r="D241" t="str">
            <v>CO555</v>
          </cell>
          <cell r="E241" t="str">
            <v>PPCs 140/155Mbit/s Local Ends CELA</v>
          </cell>
          <cell r="G241" t="str">
            <v/>
          </cell>
          <cell r="H241">
            <v>0</v>
          </cell>
          <cell r="I241">
            <v>0</v>
          </cell>
          <cell r="J241">
            <v>0</v>
          </cell>
          <cell r="K241">
            <v>0</v>
          </cell>
          <cell r="L241">
            <v>0</v>
          </cell>
          <cell r="M241">
            <v>9.6999999999999993</v>
          </cell>
          <cell r="N241">
            <v>0</v>
          </cell>
          <cell r="O241">
            <v>0</v>
          </cell>
          <cell r="P241">
            <v>315</v>
          </cell>
          <cell r="Q241" t="str">
            <v>le</v>
          </cell>
          <cell r="R241">
            <v>111.32063492063492</v>
          </cell>
        </row>
        <row r="242">
          <cell r="C242" t="str">
            <v>CO657</v>
          </cell>
          <cell r="D242" t="str">
            <v>CO657</v>
          </cell>
          <cell r="E242" t="str">
            <v>Framestream switches</v>
          </cell>
          <cell r="G242" t="str">
            <v/>
          </cell>
          <cell r="H242">
            <v>2</v>
          </cell>
          <cell r="I242">
            <v>0</v>
          </cell>
          <cell r="J242">
            <v>0</v>
          </cell>
          <cell r="K242">
            <v>2</v>
          </cell>
          <cell r="L242">
            <v>2</v>
          </cell>
          <cell r="M242">
            <v>9.6999999999999993</v>
          </cell>
          <cell r="N242">
            <v>0</v>
          </cell>
          <cell r="O242">
            <v>2</v>
          </cell>
          <cell r="P242">
            <v>224</v>
          </cell>
          <cell r="Q242" t="str">
            <v>usage</v>
          </cell>
          <cell r="R242">
            <v>9408.5178571428569</v>
          </cell>
        </row>
        <row r="243">
          <cell r="C243" t="str">
            <v>CO658</v>
          </cell>
          <cell r="D243" t="str">
            <v>CO658</v>
          </cell>
          <cell r="E243" t="str">
            <v>Inter Framestream switch transmission</v>
          </cell>
          <cell r="G243" t="str">
            <v/>
          </cell>
          <cell r="H243">
            <v>0</v>
          </cell>
          <cell r="I243">
            <v>0</v>
          </cell>
          <cell r="J243">
            <v>0</v>
          </cell>
          <cell r="K243">
            <v>0</v>
          </cell>
          <cell r="L243">
            <v>0</v>
          </cell>
          <cell r="M243">
            <v>9.6999999999999993</v>
          </cell>
          <cell r="N243">
            <v>0</v>
          </cell>
          <cell r="O243">
            <v>0</v>
          </cell>
          <cell r="P243">
            <v>224</v>
          </cell>
          <cell r="Q243" t="str">
            <v>usage</v>
          </cell>
          <cell r="R243">
            <v>191.83928571428572</v>
          </cell>
        </row>
        <row r="244">
          <cell r="C244" t="str">
            <v>CO667</v>
          </cell>
          <cell r="D244" t="str">
            <v>CO667</v>
          </cell>
          <cell r="E244" t="str">
            <v>IP International Peering</v>
          </cell>
          <cell r="G244" t="str">
            <v/>
          </cell>
          <cell r="H244">
            <v>0</v>
          </cell>
          <cell r="I244">
            <v>0</v>
          </cell>
          <cell r="J244">
            <v>0</v>
          </cell>
          <cell r="K244">
            <v>0</v>
          </cell>
          <cell r="L244">
            <v>0</v>
          </cell>
          <cell r="M244">
            <v>9.6999999999999993</v>
          </cell>
          <cell r="N244">
            <v>0</v>
          </cell>
          <cell r="O244">
            <v>0</v>
          </cell>
          <cell r="P244">
            <v>100</v>
          </cell>
          <cell r="Q244" t="str">
            <v>misc</v>
          </cell>
          <cell r="R244">
            <v>285.58999999999997</v>
          </cell>
        </row>
        <row r="245">
          <cell r="C245" t="str">
            <v>CO668</v>
          </cell>
          <cell r="D245" t="str">
            <v>CO668</v>
          </cell>
          <cell r="E245" t="str">
            <v>IP Network Management</v>
          </cell>
          <cell r="G245" t="str">
            <v/>
          </cell>
          <cell r="H245">
            <v>0</v>
          </cell>
          <cell r="I245">
            <v>0</v>
          </cell>
          <cell r="J245">
            <v>0</v>
          </cell>
          <cell r="K245">
            <v>0</v>
          </cell>
          <cell r="L245">
            <v>0</v>
          </cell>
          <cell r="M245">
            <v>9.6999999999999993</v>
          </cell>
          <cell r="N245">
            <v>0</v>
          </cell>
          <cell r="O245">
            <v>0</v>
          </cell>
          <cell r="P245">
            <v>84</v>
          </cell>
          <cell r="Q245" t="str">
            <v>misc</v>
          </cell>
          <cell r="R245">
            <v>3916.8452380952381</v>
          </cell>
        </row>
        <row r="246">
          <cell r="C246" t="str">
            <v>CO669</v>
          </cell>
          <cell r="D246" t="str">
            <v>CO669</v>
          </cell>
          <cell r="E246" t="str">
            <v>IP Network Dial IP</v>
          </cell>
          <cell r="G246" t="str">
            <v/>
          </cell>
          <cell r="H246">
            <v>0</v>
          </cell>
          <cell r="I246">
            <v>0</v>
          </cell>
          <cell r="J246">
            <v>0</v>
          </cell>
          <cell r="K246">
            <v>0</v>
          </cell>
          <cell r="L246">
            <v>0</v>
          </cell>
          <cell r="M246">
            <v>9.6999999999999993</v>
          </cell>
          <cell r="N246">
            <v>0</v>
          </cell>
          <cell r="O246">
            <v>0</v>
          </cell>
          <cell r="P246">
            <v>100</v>
          </cell>
          <cell r="Q246" t="str">
            <v>misc</v>
          </cell>
          <cell r="R246">
            <v>50.31</v>
          </cell>
        </row>
        <row r="247">
          <cell r="C247" t="str">
            <v>CO670</v>
          </cell>
          <cell r="D247" t="str">
            <v>CO670</v>
          </cell>
          <cell r="E247" t="str">
            <v>IP Network Fixed Access</v>
          </cell>
          <cell r="G247" t="str">
            <v/>
          </cell>
          <cell r="H247">
            <v>5</v>
          </cell>
          <cell r="I247">
            <v>0</v>
          </cell>
          <cell r="J247">
            <v>0</v>
          </cell>
          <cell r="K247">
            <v>5</v>
          </cell>
          <cell r="L247">
            <v>7</v>
          </cell>
          <cell r="M247">
            <v>9.6999999999999993</v>
          </cell>
          <cell r="N247">
            <v>1</v>
          </cell>
          <cell r="O247">
            <v>6</v>
          </cell>
          <cell r="P247">
            <v>100</v>
          </cell>
          <cell r="Q247" t="str">
            <v>misc</v>
          </cell>
          <cell r="R247">
            <v>61046.55</v>
          </cell>
        </row>
        <row r="248">
          <cell r="C248" t="str">
            <v>CO671</v>
          </cell>
          <cell r="D248" t="str">
            <v>CO671</v>
          </cell>
          <cell r="E248" t="str">
            <v>IP Network VPN</v>
          </cell>
          <cell r="G248" t="str">
            <v/>
          </cell>
          <cell r="H248">
            <v>29</v>
          </cell>
          <cell r="I248">
            <v>0</v>
          </cell>
          <cell r="J248">
            <v>0</v>
          </cell>
          <cell r="K248">
            <v>29</v>
          </cell>
          <cell r="L248">
            <v>41</v>
          </cell>
          <cell r="M248">
            <v>9.6999999999999993</v>
          </cell>
          <cell r="N248">
            <v>4</v>
          </cell>
          <cell r="O248">
            <v>33</v>
          </cell>
          <cell r="P248">
            <v>100</v>
          </cell>
          <cell r="Q248" t="str">
            <v>misc</v>
          </cell>
          <cell r="R248">
            <v>328848.2</v>
          </cell>
        </row>
        <row r="249">
          <cell r="C249" t="str">
            <v>CO672</v>
          </cell>
          <cell r="D249" t="str">
            <v>CO672</v>
          </cell>
          <cell r="E249" t="str">
            <v>IP Network Broadband</v>
          </cell>
          <cell r="G249" t="str">
            <v/>
          </cell>
          <cell r="H249">
            <v>55</v>
          </cell>
          <cell r="I249">
            <v>0</v>
          </cell>
          <cell r="J249">
            <v>0</v>
          </cell>
          <cell r="K249">
            <v>55</v>
          </cell>
          <cell r="L249">
            <v>75</v>
          </cell>
          <cell r="M249">
            <v>9.6999999999999993</v>
          </cell>
          <cell r="N249">
            <v>7</v>
          </cell>
          <cell r="O249">
            <v>62</v>
          </cell>
          <cell r="P249">
            <v>100</v>
          </cell>
          <cell r="Q249" t="str">
            <v>misc</v>
          </cell>
          <cell r="R249">
            <v>618125.36</v>
          </cell>
        </row>
        <row r="250">
          <cell r="C250" t="str">
            <v>CO673</v>
          </cell>
          <cell r="D250" t="str">
            <v>CO673</v>
          </cell>
          <cell r="E250" t="str">
            <v>IP Network BT Intranet</v>
          </cell>
          <cell r="G250" t="str">
            <v/>
          </cell>
          <cell r="H250">
            <v>0</v>
          </cell>
          <cell r="I250">
            <v>0</v>
          </cell>
          <cell r="J250">
            <v>0</v>
          </cell>
          <cell r="K250">
            <v>0</v>
          </cell>
          <cell r="L250">
            <v>0</v>
          </cell>
          <cell r="M250">
            <v>9.6999999999999993</v>
          </cell>
          <cell r="N250">
            <v>0</v>
          </cell>
          <cell r="O250">
            <v>0</v>
          </cell>
          <cell r="P250">
            <v>100</v>
          </cell>
          <cell r="Q250" t="str">
            <v>usage</v>
          </cell>
          <cell r="R250">
            <v>4004.07</v>
          </cell>
        </row>
        <row r="251">
          <cell r="C251" t="str">
            <v>CO674</v>
          </cell>
          <cell r="D251" t="str">
            <v>CO674</v>
          </cell>
          <cell r="E251" t="str">
            <v>IP Core Node Equipment</v>
          </cell>
          <cell r="G251" t="str">
            <v/>
          </cell>
          <cell r="H251">
            <v>10</v>
          </cell>
          <cell r="I251">
            <v>0</v>
          </cell>
          <cell r="J251">
            <v>0</v>
          </cell>
          <cell r="K251">
            <v>10</v>
          </cell>
          <cell r="L251">
            <v>14</v>
          </cell>
          <cell r="M251">
            <v>9.6999999999999993</v>
          </cell>
          <cell r="N251">
            <v>1</v>
          </cell>
          <cell r="O251">
            <v>11</v>
          </cell>
          <cell r="P251">
            <v>100</v>
          </cell>
          <cell r="Q251" t="str">
            <v>misc</v>
          </cell>
          <cell r="R251">
            <v>109150.2</v>
          </cell>
        </row>
        <row r="252">
          <cell r="C252" t="str">
            <v>CO675</v>
          </cell>
          <cell r="D252" t="str">
            <v>CO675</v>
          </cell>
          <cell r="E252" t="str">
            <v>IP VOIP Platform</v>
          </cell>
          <cell r="G252" t="str">
            <v/>
          </cell>
          <cell r="H252">
            <v>41</v>
          </cell>
          <cell r="I252">
            <v>0</v>
          </cell>
          <cell r="J252">
            <v>0</v>
          </cell>
          <cell r="K252">
            <v>41</v>
          </cell>
          <cell r="L252">
            <v>50</v>
          </cell>
          <cell r="M252">
            <v>9.6999999999999993</v>
          </cell>
          <cell r="N252">
            <v>5</v>
          </cell>
          <cell r="O252">
            <v>46</v>
          </cell>
          <cell r="P252">
            <v>1</v>
          </cell>
          <cell r="Q252" t="str">
            <v>misc</v>
          </cell>
          <cell r="R252">
            <v>45457398</v>
          </cell>
        </row>
        <row r="253">
          <cell r="C253" t="str">
            <v>CO678</v>
          </cell>
          <cell r="D253" t="str">
            <v>CO678</v>
          </cell>
          <cell r="E253" t="str">
            <v>SIP Servers</v>
          </cell>
          <cell r="G253" t="str">
            <v/>
          </cell>
          <cell r="H253">
            <v>6</v>
          </cell>
          <cell r="I253">
            <v>0</v>
          </cell>
          <cell r="J253">
            <v>0</v>
          </cell>
          <cell r="K253">
            <v>6</v>
          </cell>
          <cell r="L253">
            <v>8</v>
          </cell>
          <cell r="M253">
            <v>9.6999999999999993</v>
          </cell>
          <cell r="N253">
            <v>1</v>
          </cell>
          <cell r="O253">
            <v>7</v>
          </cell>
          <cell r="P253">
            <v>861287953</v>
          </cell>
          <cell r="Q253" t="str">
            <v>mc</v>
          </cell>
          <cell r="R253">
            <v>7.6512692149544092E-7</v>
          </cell>
        </row>
        <row r="254">
          <cell r="C254" t="str">
            <v>CO682</v>
          </cell>
          <cell r="D254" t="str">
            <v>CO682</v>
          </cell>
          <cell r="E254" t="str">
            <v>OR BT Central circuits</v>
          </cell>
          <cell r="G254" t="str">
            <v/>
          </cell>
          <cell r="H254">
            <v>2</v>
          </cell>
          <cell r="I254">
            <v>0</v>
          </cell>
          <cell r="J254">
            <v>0</v>
          </cell>
          <cell r="K254">
            <v>2</v>
          </cell>
          <cell r="L254">
            <v>7</v>
          </cell>
          <cell r="M254">
            <v>9.6999999999999993</v>
          </cell>
          <cell r="N254">
            <v>1</v>
          </cell>
          <cell r="O254">
            <v>3</v>
          </cell>
          <cell r="P254">
            <v>1</v>
          </cell>
          <cell r="Q254" t="str">
            <v>circuits</v>
          </cell>
          <cell r="R254">
            <v>2116312</v>
          </cell>
        </row>
        <row r="255">
          <cell r="C255" t="str">
            <v>CO683</v>
          </cell>
          <cell r="D255" t="str">
            <v>CO683</v>
          </cell>
          <cell r="E255" t="str">
            <v>OR SP Access links</v>
          </cell>
          <cell r="G255" t="str">
            <v/>
          </cell>
          <cell r="H255">
            <v>0</v>
          </cell>
          <cell r="I255">
            <v>0</v>
          </cell>
          <cell r="J255">
            <v>0</v>
          </cell>
          <cell r="K255">
            <v>0</v>
          </cell>
          <cell r="L255">
            <v>0</v>
          </cell>
          <cell r="M255">
            <v>9.6999999999999993</v>
          </cell>
          <cell r="N255">
            <v>0</v>
          </cell>
          <cell r="O255">
            <v>0</v>
          </cell>
          <cell r="P255">
            <v>1</v>
          </cell>
          <cell r="Q255" t="str">
            <v>circuits</v>
          </cell>
          <cell r="R255">
            <v>207788</v>
          </cell>
        </row>
        <row r="256">
          <cell r="C256" t="str">
            <v>CO732</v>
          </cell>
          <cell r="D256" t="str">
            <v>CO732</v>
          </cell>
          <cell r="E256" t="str">
            <v>Number Portability set-up costs</v>
          </cell>
          <cell r="G256" t="str">
            <v/>
          </cell>
          <cell r="H256">
            <v>1</v>
          </cell>
          <cell r="I256">
            <v>0</v>
          </cell>
          <cell r="J256">
            <v>0</v>
          </cell>
          <cell r="K256">
            <v>1</v>
          </cell>
          <cell r="L256">
            <v>0</v>
          </cell>
          <cell r="M256">
            <v>9.6999999999999993</v>
          </cell>
          <cell r="N256">
            <v>0</v>
          </cell>
          <cell r="O256">
            <v>1</v>
          </cell>
          <cell r="P256">
            <v>175262</v>
          </cell>
          <cell r="Q256" t="str">
            <v>conns</v>
          </cell>
          <cell r="R256">
            <v>3.2809165706199859</v>
          </cell>
        </row>
        <row r="257">
          <cell r="C257" t="str">
            <v>CO781</v>
          </cell>
          <cell r="D257" t="str">
            <v>CR781</v>
          </cell>
          <cell r="E257" t="str">
            <v>SMDS</v>
          </cell>
          <cell r="G257" t="str">
            <v/>
          </cell>
          <cell r="H257">
            <v>0</v>
          </cell>
          <cell r="I257">
            <v>0</v>
          </cell>
          <cell r="J257">
            <v>0</v>
          </cell>
          <cell r="K257">
            <v>0</v>
          </cell>
          <cell r="L257">
            <v>0</v>
          </cell>
          <cell r="M257">
            <v>9.6999999999999993</v>
          </cell>
          <cell r="N257">
            <v>0</v>
          </cell>
          <cell r="O257">
            <v>0</v>
          </cell>
          <cell r="P257">
            <v>100</v>
          </cell>
          <cell r="Q257" t="str">
            <v>misc</v>
          </cell>
          <cell r="R257">
            <v>4386.68</v>
          </cell>
        </row>
        <row r="258">
          <cell r="C258" t="str">
            <v>CO823</v>
          </cell>
          <cell r="D258" t="str">
            <v>CO823</v>
          </cell>
          <cell r="E258" t="str">
            <v>BT Own Use PC provision</v>
          </cell>
          <cell r="G258" t="str">
            <v/>
          </cell>
          <cell r="H258">
            <v>1</v>
          </cell>
          <cell r="I258">
            <v>0</v>
          </cell>
          <cell r="J258">
            <v>0</v>
          </cell>
          <cell r="K258">
            <v>1</v>
          </cell>
          <cell r="L258">
            <v>0</v>
          </cell>
          <cell r="M258">
            <v>9.6999999999999993</v>
          </cell>
          <cell r="N258">
            <v>0</v>
          </cell>
          <cell r="O258">
            <v>1</v>
          </cell>
          <cell r="P258">
            <v>100</v>
          </cell>
          <cell r="Q258" t="str">
            <v>usage</v>
          </cell>
          <cell r="R258">
            <v>9089.1299999999992</v>
          </cell>
        </row>
        <row r="259">
          <cell r="C259" t="str">
            <v>CO911</v>
          </cell>
          <cell r="D259" t="str">
            <v>CO911</v>
          </cell>
          <cell r="E259" t="str">
            <v>National Operator Assistance</v>
          </cell>
          <cell r="G259" t="str">
            <v/>
          </cell>
          <cell r="H259">
            <v>0</v>
          </cell>
          <cell r="I259">
            <v>0</v>
          </cell>
          <cell r="J259">
            <v>0</v>
          </cell>
          <cell r="K259">
            <v>0</v>
          </cell>
          <cell r="L259">
            <v>0</v>
          </cell>
          <cell r="M259">
            <v>9.6999999999999993</v>
          </cell>
          <cell r="N259">
            <v>0</v>
          </cell>
          <cell r="O259">
            <v>0</v>
          </cell>
          <cell r="P259">
            <v>17</v>
          </cell>
          <cell r="Q259" t="str">
            <v>ms</v>
          </cell>
          <cell r="R259">
            <v>2.7831176470588237</v>
          </cell>
        </row>
        <row r="260">
          <cell r="C260" t="str">
            <v>CO912</v>
          </cell>
          <cell r="D260" t="str">
            <v>CO912</v>
          </cell>
          <cell r="E260" t="str">
            <v>International Operator Assistance</v>
          </cell>
          <cell r="G260" t="str">
            <v/>
          </cell>
          <cell r="H260">
            <v>0</v>
          </cell>
          <cell r="I260">
            <v>0</v>
          </cell>
          <cell r="J260">
            <v>0</v>
          </cell>
          <cell r="K260">
            <v>0</v>
          </cell>
          <cell r="L260">
            <v>0</v>
          </cell>
          <cell r="M260">
            <v>9.6999999999999993</v>
          </cell>
          <cell r="N260">
            <v>0</v>
          </cell>
          <cell r="O260">
            <v>0</v>
          </cell>
          <cell r="P260">
            <v>22</v>
          </cell>
          <cell r="Q260" t="str">
            <v>ms</v>
          </cell>
          <cell r="R260">
            <v>0.44762272727272728</v>
          </cell>
        </row>
        <row r="261">
          <cell r="C261" t="str">
            <v>CO919</v>
          </cell>
          <cell r="D261" t="str">
            <v>CO919</v>
          </cell>
          <cell r="E261" t="str">
            <v>Emergency Operator Assistance (999)</v>
          </cell>
          <cell r="G261" t="str">
            <v/>
          </cell>
          <cell r="H261">
            <v>18</v>
          </cell>
          <cell r="I261">
            <v>0</v>
          </cell>
          <cell r="J261">
            <v>0</v>
          </cell>
          <cell r="K261">
            <v>18</v>
          </cell>
          <cell r="L261">
            <v>-1</v>
          </cell>
          <cell r="M261">
            <v>9.6999999999999993</v>
          </cell>
          <cell r="N261">
            <v>0</v>
          </cell>
          <cell r="O261">
            <v>18</v>
          </cell>
          <cell r="P261">
            <v>761</v>
          </cell>
          <cell r="Q261" t="str">
            <v>ms</v>
          </cell>
          <cell r="R261">
            <v>2.3494198423127464</v>
          </cell>
        </row>
        <row r="262">
          <cell r="C262" t="str">
            <v>CO927</v>
          </cell>
          <cell r="D262" t="str">
            <v>CO927</v>
          </cell>
          <cell r="E262" t="str">
            <v>DQ non chargeable</v>
          </cell>
          <cell r="G262" t="str">
            <v/>
          </cell>
          <cell r="H262">
            <v>1</v>
          </cell>
          <cell r="I262">
            <v>0</v>
          </cell>
          <cell r="J262">
            <v>0</v>
          </cell>
          <cell r="K262">
            <v>1</v>
          </cell>
          <cell r="L262">
            <v>-1</v>
          </cell>
          <cell r="M262">
            <v>9.6999999999999993</v>
          </cell>
          <cell r="N262">
            <v>0</v>
          </cell>
          <cell r="O262">
            <v>1</v>
          </cell>
          <cell r="P262">
            <v>21</v>
          </cell>
          <cell r="Q262" t="str">
            <v>mm</v>
          </cell>
          <cell r="R262">
            <v>2.4716714285714287</v>
          </cell>
        </row>
        <row r="263">
          <cell r="C263" t="str">
            <v>CO928</v>
          </cell>
          <cell r="D263" t="str">
            <v>CO928</v>
          </cell>
          <cell r="E263" t="str">
            <v>DQ Number Information Network</v>
          </cell>
          <cell r="G263" t="str">
            <v/>
          </cell>
          <cell r="H263">
            <v>0</v>
          </cell>
          <cell r="I263">
            <v>0</v>
          </cell>
          <cell r="J263">
            <v>0</v>
          </cell>
          <cell r="K263">
            <v>0</v>
          </cell>
          <cell r="L263">
            <v>0</v>
          </cell>
          <cell r="M263">
            <v>9.6999999999999993</v>
          </cell>
          <cell r="N263">
            <v>0</v>
          </cell>
          <cell r="O263">
            <v>0</v>
          </cell>
          <cell r="P263">
            <v>81</v>
          </cell>
          <cell r="Q263" t="str">
            <v>mm</v>
          </cell>
          <cell r="R263">
            <v>5.8324691358024691E-2</v>
          </cell>
        </row>
        <row r="264">
          <cell r="C264" t="str">
            <v>CO943</v>
          </cell>
          <cell r="D264" t="str">
            <v>CO943</v>
          </cell>
          <cell r="E264" t="str">
            <v>Payphones OA non chargeable</v>
          </cell>
          <cell r="G264" t="str">
            <v/>
          </cell>
          <cell r="H264">
            <v>0</v>
          </cell>
          <cell r="I264">
            <v>0</v>
          </cell>
          <cell r="J264">
            <v>0</v>
          </cell>
          <cell r="K264">
            <v>0</v>
          </cell>
          <cell r="L264">
            <v>1</v>
          </cell>
          <cell r="M264">
            <v>9.6999999999999993</v>
          </cell>
          <cell r="N264">
            <v>0</v>
          </cell>
          <cell r="O264">
            <v>0</v>
          </cell>
          <cell r="P264">
            <v>72</v>
          </cell>
          <cell r="Q264" t="str">
            <v>mm</v>
          </cell>
          <cell r="R264">
            <v>7.2902777777777775E-2</v>
          </cell>
        </row>
        <row r="265">
          <cell r="C265" t="str">
            <v>CZ252B</v>
          </cell>
          <cell r="D265" t="str">
            <v>CZ252B</v>
          </cell>
          <cell r="E265" t="str">
            <v>OR Residual Elimination</v>
          </cell>
          <cell r="G265" t="str">
            <v/>
          </cell>
          <cell r="H265">
            <v>0</v>
          </cell>
          <cell r="I265">
            <v>0</v>
          </cell>
          <cell r="J265">
            <v>0</v>
          </cell>
          <cell r="K265">
            <v>0</v>
          </cell>
          <cell r="L265">
            <v>-37</v>
          </cell>
          <cell r="M265">
            <v>9.6999999999999993</v>
          </cell>
          <cell r="N265">
            <v>-4</v>
          </cell>
          <cell r="O265">
            <v>-4</v>
          </cell>
          <cell r="P265">
            <v>100</v>
          </cell>
          <cell r="Q265" t="str">
            <v>misc</v>
          </cell>
          <cell r="R265">
            <v>-36120.58</v>
          </cell>
        </row>
        <row r="266">
          <cell r="C266" t="str">
            <v>CZ252N</v>
          </cell>
          <cell r="D266" t="str">
            <v>CZ252N</v>
          </cell>
          <cell r="E266" t="str">
            <v>WH Residual Elimination</v>
          </cell>
          <cell r="G266" t="str">
            <v/>
          </cell>
          <cell r="H266">
            <v>22</v>
          </cell>
          <cell r="I266">
            <v>0</v>
          </cell>
          <cell r="J266">
            <v>0</v>
          </cell>
          <cell r="K266">
            <v>22</v>
          </cell>
          <cell r="L266">
            <v>173</v>
          </cell>
          <cell r="M266">
            <v>9.6999999999999993</v>
          </cell>
          <cell r="N266">
            <v>17</v>
          </cell>
          <cell r="O266">
            <v>39</v>
          </cell>
          <cell r="P266">
            <v>100</v>
          </cell>
          <cell r="Q266" t="str">
            <v>misc</v>
          </cell>
          <cell r="R266">
            <v>391829.05</v>
          </cell>
        </row>
        <row r="267">
          <cell r="C267" t="str">
            <v>CZ900</v>
          </cell>
          <cell r="D267" t="str">
            <v>CZ900</v>
          </cell>
          <cell r="E267" t="str">
            <v>Openreach Internal Trades</v>
          </cell>
          <cell r="G267" t="str">
            <v/>
          </cell>
          <cell r="H267">
            <v>0</v>
          </cell>
          <cell r="I267">
            <v>0</v>
          </cell>
          <cell r="J267">
            <v>0</v>
          </cell>
          <cell r="K267">
            <v>0</v>
          </cell>
          <cell r="L267">
            <v>0</v>
          </cell>
          <cell r="M267">
            <v>9.6999999999999993</v>
          </cell>
          <cell r="N267">
            <v>0</v>
          </cell>
          <cell r="O267">
            <v>0</v>
          </cell>
          <cell r="P267">
            <v>100</v>
          </cell>
          <cell r="Q267" t="str">
            <v>misc</v>
          </cell>
          <cell r="R267">
            <v>381.62</v>
          </cell>
        </row>
        <row r="268">
          <cell r="C268" t="str">
            <v>CL574</v>
          </cell>
          <cell r="D268" t="str">
            <v>CL574</v>
          </cell>
          <cell r="E268" t="str">
            <v>Service Centre - Provision WLR NGA</v>
          </cell>
          <cell r="G268" t="str">
            <v/>
          </cell>
          <cell r="H268">
            <v>0</v>
          </cell>
          <cell r="I268">
            <v>0</v>
          </cell>
          <cell r="J268">
            <v>0</v>
          </cell>
          <cell r="K268">
            <v>0</v>
          </cell>
          <cell r="L268">
            <v>1</v>
          </cell>
          <cell r="M268">
            <v>9.6999999999999993</v>
          </cell>
          <cell r="N268">
            <v>0</v>
          </cell>
          <cell r="O268">
            <v>0</v>
          </cell>
          <cell r="P268">
            <v>522145</v>
          </cell>
          <cell r="Q268" t="str">
            <v>misc</v>
          </cell>
          <cell r="R268">
            <v>0.25793792911930596</v>
          </cell>
        </row>
        <row r="269">
          <cell r="C269" t="str">
            <v>CL579</v>
          </cell>
          <cell r="D269" t="str">
            <v>CL579</v>
          </cell>
          <cell r="E269" t="str">
            <v>Service Centre - Assurance  NGA</v>
          </cell>
          <cell r="G269" t="str">
            <v/>
          </cell>
          <cell r="H269">
            <v>0</v>
          </cell>
          <cell r="I269">
            <v>0</v>
          </cell>
          <cell r="J269">
            <v>0</v>
          </cell>
          <cell r="K269">
            <v>0</v>
          </cell>
          <cell r="L269">
            <v>0</v>
          </cell>
          <cell r="M269">
            <v>9.6999999999999993</v>
          </cell>
          <cell r="N269">
            <v>0</v>
          </cell>
          <cell r="O269">
            <v>0</v>
          </cell>
          <cell r="P269">
            <v>1285239</v>
          </cell>
          <cell r="Q269" t="str">
            <v>misc</v>
          </cell>
          <cell r="R269">
            <v>-3.7658365486886096E-4</v>
          </cell>
        </row>
        <row r="270">
          <cell r="C270" t="str">
            <v>CL197</v>
          </cell>
          <cell r="D270" t="str">
            <v>CL197</v>
          </cell>
          <cell r="E270" t="str">
            <v>FTTC Service Delivery &amp; Development</v>
          </cell>
          <cell r="G270" t="str">
            <v/>
          </cell>
          <cell r="H270">
            <v>132</v>
          </cell>
          <cell r="I270">
            <v>-2</v>
          </cell>
          <cell r="J270">
            <v>13</v>
          </cell>
          <cell r="K270">
            <v>143</v>
          </cell>
          <cell r="L270">
            <v>262</v>
          </cell>
          <cell r="M270">
            <v>9.6999999999999993</v>
          </cell>
          <cell r="N270">
            <v>25</v>
          </cell>
          <cell r="O270">
            <v>168</v>
          </cell>
          <cell r="P270">
            <v>763095</v>
          </cell>
          <cell r="Q270" t="str">
            <v>misc</v>
          </cell>
          <cell r="R270">
            <v>221.98765291346425</v>
          </cell>
        </row>
        <row r="271">
          <cell r="C271" t="str">
            <v>CL198</v>
          </cell>
          <cell r="D271" t="str">
            <v>CL198</v>
          </cell>
          <cell r="E271" t="str">
            <v>FTTP Development</v>
          </cell>
          <cell r="G271" t="str">
            <v/>
          </cell>
          <cell r="H271">
            <v>2</v>
          </cell>
          <cell r="I271">
            <v>0</v>
          </cell>
          <cell r="J271">
            <v>0</v>
          </cell>
          <cell r="K271">
            <v>2</v>
          </cell>
          <cell r="L271">
            <v>3</v>
          </cell>
          <cell r="M271">
            <v>9.6999999999999993</v>
          </cell>
          <cell r="N271">
            <v>0</v>
          </cell>
          <cell r="O271">
            <v>2</v>
          </cell>
          <cell r="P271">
            <v>763095</v>
          </cell>
          <cell r="Q271" t="str">
            <v>misc</v>
          </cell>
          <cell r="R271">
            <v>3.5001828081693631</v>
          </cell>
        </row>
        <row r="272">
          <cell r="C272" t="str">
            <v>CO583</v>
          </cell>
          <cell r="D272" t="str">
            <v>CO583</v>
          </cell>
          <cell r="E272" t="str">
            <v>SG&amp;A Wholesale Residual</v>
          </cell>
          <cell r="G272" t="str">
            <v/>
          </cell>
          <cell r="H272">
            <v>87</v>
          </cell>
          <cell r="I272">
            <v>0</v>
          </cell>
          <cell r="J272">
            <v>0</v>
          </cell>
          <cell r="K272">
            <v>87</v>
          </cell>
          <cell r="L272">
            <v>37</v>
          </cell>
          <cell r="M272">
            <v>9.6999999999999993</v>
          </cell>
          <cell r="N272">
            <v>4</v>
          </cell>
          <cell r="O272">
            <v>91</v>
          </cell>
          <cell r="P272">
            <v>2</v>
          </cell>
          <cell r="Q272" t="str">
            <v>misc</v>
          </cell>
          <cell r="R272">
            <v>45075893.5</v>
          </cell>
        </row>
        <row r="273">
          <cell r="C273" t="str">
            <v>CO584</v>
          </cell>
          <cell r="D273" t="str">
            <v>CO584</v>
          </cell>
          <cell r="E273" t="str">
            <v>SG&amp;A Wholesale Other</v>
          </cell>
          <cell r="G273" t="str">
            <v/>
          </cell>
          <cell r="H273">
            <v>22</v>
          </cell>
          <cell r="I273">
            <v>0</v>
          </cell>
          <cell r="J273">
            <v>0</v>
          </cell>
          <cell r="K273">
            <v>22</v>
          </cell>
          <cell r="L273">
            <v>6</v>
          </cell>
          <cell r="M273">
            <v>9.6999999999999993</v>
          </cell>
          <cell r="N273">
            <v>1</v>
          </cell>
          <cell r="O273">
            <v>23</v>
          </cell>
          <cell r="P273">
            <v>2</v>
          </cell>
          <cell r="Q273" t="str">
            <v>misc</v>
          </cell>
          <cell r="R273">
            <v>11151001.5</v>
          </cell>
        </row>
        <row r="274">
          <cell r="C274" t="str">
            <v>CO585</v>
          </cell>
          <cell r="D274" t="str">
            <v>CO585</v>
          </cell>
          <cell r="E274" t="str">
            <v>SG&amp;A downstream Residual</v>
          </cell>
          <cell r="G274" t="str">
            <v/>
          </cell>
          <cell r="H274">
            <v>41</v>
          </cell>
          <cell r="I274">
            <v>0</v>
          </cell>
          <cell r="J274">
            <v>0</v>
          </cell>
          <cell r="K274">
            <v>41</v>
          </cell>
          <cell r="L274">
            <v>52</v>
          </cell>
          <cell r="M274">
            <v>9.6999999999999993</v>
          </cell>
          <cell r="N274">
            <v>5</v>
          </cell>
          <cell r="O274">
            <v>46</v>
          </cell>
          <cell r="P274">
            <v>4</v>
          </cell>
          <cell r="Q274" t="str">
            <v>misc</v>
          </cell>
          <cell r="R274">
            <v>11418288.5</v>
          </cell>
        </row>
        <row r="280">
          <cell r="E280" t="str">
            <v>Integrity</v>
          </cell>
        </row>
        <row r="281">
          <cell r="D281" t="str">
            <v>Total</v>
          </cell>
          <cell r="E281" t="str">
            <v>NSOCSC</v>
          </cell>
          <cell r="H281">
            <v>6456231428</v>
          </cell>
          <cell r="I281">
            <v>194066007</v>
          </cell>
          <cell r="J281">
            <v>46837804</v>
          </cell>
          <cell r="K281">
            <v>6697135239</v>
          </cell>
          <cell r="L281">
            <v>15295188401</v>
          </cell>
          <cell r="N281">
            <v>1398939794</v>
          </cell>
          <cell r="O281">
            <v>8096075033</v>
          </cell>
        </row>
        <row r="282">
          <cell r="E282" t="str">
            <v>Annex 15</v>
          </cell>
          <cell r="H282">
            <v>6455000000</v>
          </cell>
          <cell r="I282">
            <v>194000000</v>
          </cell>
          <cell r="J282">
            <v>48000000</v>
          </cell>
          <cell r="K282">
            <v>6697000000</v>
          </cell>
          <cell r="L282">
            <v>15294000000</v>
          </cell>
          <cell r="N282">
            <v>1399000000</v>
          </cell>
          <cell r="O282">
            <v>8096000000</v>
          </cell>
        </row>
        <row r="284">
          <cell r="E284" t="str">
            <v>Variance</v>
          </cell>
          <cell r="H284">
            <v>1</v>
          </cell>
          <cell r="I284">
            <v>0</v>
          </cell>
          <cell r="J284">
            <v>-1</v>
          </cell>
          <cell r="K284">
            <v>0</v>
          </cell>
          <cell r="L284">
            <v>1</v>
          </cell>
          <cell r="N284">
            <v>0</v>
          </cell>
          <cell r="O284">
            <v>0</v>
          </cell>
        </row>
        <row r="286">
          <cell r="E286" t="str">
            <v>Integrity</v>
          </cell>
        </row>
        <row r="287">
          <cell r="E287" t="str">
            <v>Sum of Components</v>
          </cell>
          <cell r="G287" t="str">
            <v>CA</v>
          </cell>
          <cell r="H287">
            <v>4229</v>
          </cell>
          <cell r="I287">
            <v>193</v>
          </cell>
          <cell r="J287">
            <v>25</v>
          </cell>
          <cell r="K287">
            <v>4447</v>
          </cell>
          <cell r="L287">
            <v>14189</v>
          </cell>
          <cell r="N287">
            <v>1292</v>
          </cell>
          <cell r="O287">
            <v>5739</v>
          </cell>
        </row>
        <row r="288">
          <cell r="G288" t="str">
            <v>AS</v>
          </cell>
          <cell r="H288">
            <v>103</v>
          </cell>
          <cell r="I288">
            <v>-1</v>
          </cell>
          <cell r="J288">
            <v>14</v>
          </cell>
          <cell r="K288">
            <v>116</v>
          </cell>
          <cell r="L288">
            <v>213</v>
          </cell>
          <cell r="N288">
            <v>21</v>
          </cell>
          <cell r="O288">
            <v>137</v>
          </cell>
        </row>
        <row r="289">
          <cell r="G289" t="str">
            <v>Residual</v>
          </cell>
          <cell r="H289">
            <v>2119</v>
          </cell>
          <cell r="I289">
            <v>4</v>
          </cell>
          <cell r="J289">
            <v>2</v>
          </cell>
          <cell r="K289">
            <v>2125</v>
          </cell>
          <cell r="L289">
            <v>889</v>
          </cell>
          <cell r="N289">
            <v>83</v>
          </cell>
          <cell r="O289">
            <v>2208</v>
          </cell>
        </row>
        <row r="290">
          <cell r="G290" t="str">
            <v>Roundings</v>
          </cell>
          <cell r="H290">
            <v>4</v>
          </cell>
          <cell r="I290">
            <v>-2</v>
          </cell>
          <cell r="J290">
            <v>7</v>
          </cell>
          <cell r="K290">
            <v>9</v>
          </cell>
          <cell r="L290">
            <v>3</v>
          </cell>
          <cell r="M290" t="str">
            <v xml:space="preserve"> </v>
          </cell>
          <cell r="N290">
            <v>3</v>
          </cell>
          <cell r="O290">
            <v>12</v>
          </cell>
        </row>
        <row r="292">
          <cell r="E292" t="str">
            <v>Total of Components</v>
          </cell>
          <cell r="H292">
            <v>6455</v>
          </cell>
          <cell r="I292">
            <v>194</v>
          </cell>
          <cell r="J292">
            <v>48</v>
          </cell>
          <cell r="K292">
            <v>6697</v>
          </cell>
          <cell r="L292">
            <v>15294</v>
          </cell>
          <cell r="N292">
            <v>1399</v>
          </cell>
          <cell r="O292">
            <v>8096</v>
          </cell>
        </row>
        <row r="294">
          <cell r="E294" t="str">
            <v>Variance</v>
          </cell>
          <cell r="H294">
            <v>0</v>
          </cell>
          <cell r="I294">
            <v>0</v>
          </cell>
          <cell r="J294">
            <v>0</v>
          </cell>
          <cell r="K294">
            <v>0</v>
          </cell>
          <cell r="L294">
            <v>0</v>
          </cell>
          <cell r="N294">
            <v>0</v>
          </cell>
          <cell r="O294">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3vcs2.0a"/>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Style Guidelines"/>
      <sheetName val="Input_Lists"/>
      <sheetName val="Scenarios"/>
      <sheetName val="Outputs"/>
      <sheetName val="Inputs--&gt;&gt;"/>
      <sheetName val="Traffic inputs"/>
      <sheetName val="Other Inputs"/>
      <sheetName val="Forecasts--&gt;&gt;"/>
      <sheetName val="Voice and line"/>
      <sheetName val="Data traffic"/>
      <sheetName val="Final outputs--&gt;&gt;"/>
      <sheetName val="Link_DemandNetwork"/>
    </sheetNames>
    <sheetDataSet>
      <sheetData sheetId="0"/>
      <sheetData sheetId="1"/>
      <sheetData sheetId="2">
        <row r="10">
          <cell r="G10" t="str">
            <v>2005/06</v>
          </cell>
          <cell r="H10" t="str">
            <v>2006/07</v>
          </cell>
          <cell r="I10" t="str">
            <v>2007/08</v>
          </cell>
          <cell r="J10" t="str">
            <v>2008/09</v>
          </cell>
          <cell r="K10" t="str">
            <v>2009/10</v>
          </cell>
          <cell r="L10" t="str">
            <v>2010/11</v>
          </cell>
          <cell r="M10" t="str">
            <v>2011/12</v>
          </cell>
          <cell r="N10" t="str">
            <v>2012/13</v>
          </cell>
          <cell r="O10" t="str">
            <v>2013/14</v>
          </cell>
          <cell r="P10" t="str">
            <v>2014/15</v>
          </cell>
          <cell r="Q10" t="str">
            <v>2015/16</v>
          </cell>
          <cell r="R10" t="str">
            <v>2016/17</v>
          </cell>
          <cell r="S10" t="str">
            <v>2017/18</v>
          </cell>
          <cell r="T10" t="str">
            <v>2018/19</v>
          </cell>
          <cell r="U10" t="str">
            <v>2019/20</v>
          </cell>
          <cell r="V10" t="str">
            <v>2020/21</v>
          </cell>
          <cell r="W10" t="str">
            <v>2021/22</v>
          </cell>
          <cell r="X10" t="str">
            <v>2022/23</v>
          </cell>
          <cell r="Y10" t="str">
            <v>2023/24</v>
          </cell>
          <cell r="Z10" t="str">
            <v>2024/25</v>
          </cell>
          <cell r="AA10" t="str">
            <v>2025/26</v>
          </cell>
          <cell r="AB10" t="str">
            <v>2026/27</v>
          </cell>
          <cell r="AC10" t="str">
            <v>2027/28</v>
          </cell>
          <cell r="AD10" t="str">
            <v>2028/29</v>
          </cell>
          <cell r="AE10" t="str">
            <v>2029/30</v>
          </cell>
          <cell r="AF10" t="str">
            <v>2030/31</v>
          </cell>
          <cell r="AG10" t="str">
            <v>2031/32</v>
          </cell>
          <cell r="AH10" t="str">
            <v>2032/33</v>
          </cell>
          <cell r="AI10" t="str">
            <v>2033/34</v>
          </cell>
          <cell r="AJ10" t="str">
            <v>2034/35</v>
          </cell>
          <cell r="AK10" t="str">
            <v>2035/36</v>
          </cell>
          <cell r="AL10" t="str">
            <v>2036/37</v>
          </cell>
          <cell r="AM10" t="str">
            <v>2037/38</v>
          </cell>
          <cell r="AN10" t="str">
            <v>2038/39</v>
          </cell>
          <cell r="AO10" t="str">
            <v>2039/40</v>
          </cell>
          <cell r="AP10" t="str">
            <v>2040/41</v>
          </cell>
          <cell r="AQ10" t="str">
            <v>2041/42</v>
          </cell>
          <cell r="AR10" t="str">
            <v>2042/43</v>
          </cell>
          <cell r="AS10" t="str">
            <v>2043/44</v>
          </cell>
          <cell r="AT10" t="str">
            <v>2044/45</v>
          </cell>
          <cell r="AU10" t="str">
            <v>2045/46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ents"/>
      <sheetName val="Version History"/>
      <sheetName val="Quality Assurance"/>
      <sheetName val="Style Guidelines"/>
      <sheetName val="Inputs--&gt;&gt;"/>
      <sheetName val="Scenario"/>
      <sheetName val="Inputs Summary"/>
      <sheetName val="Other Inputs"/>
      <sheetName val="Analysis --&gt;&gt;"/>
      <sheetName val="Main Forecast"/>
      <sheetName val="Other Forecasts"/>
      <sheetName val="Output --&gt;&gt;"/>
      <sheetName val="Scenarios"/>
      <sheetName val="TEMP (to delete) --&gt;&gt;"/>
      <sheetName val="OR Actuals"/>
      <sheetName val="OR Forecasts"/>
      <sheetName val="OR Fibre"/>
      <sheetName val="OR Summary"/>
      <sheetName val="OR Summary NI Uplift"/>
      <sheetName val="Charts &amp; Tables"/>
      <sheetName val="Baskets"/>
      <sheetName val="Forecast Comparis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7">
          <cell r="G17">
            <v>13728813</v>
          </cell>
          <cell r="H17">
            <v>12250928</v>
          </cell>
          <cell r="I17">
            <v>11418728</v>
          </cell>
          <cell r="J17">
            <v>11133339.98910803</v>
          </cell>
          <cell r="K17">
            <v>10713915.95703272</v>
          </cell>
          <cell r="L17">
            <v>10288066.178566927</v>
          </cell>
          <cell r="M17">
            <v>9908949.4541415703</v>
          </cell>
          <cell r="N17">
            <v>9554322.3824443538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ents"/>
      <sheetName val="RFS --&gt;"/>
      <sheetName val="A11_WLR"/>
      <sheetName val="A11_WLA"/>
      <sheetName val="A15_NetworkActivityStatement"/>
      <sheetName val="A16_FAC"/>
      <sheetName val="List_RFS"/>
      <sheetName val="Cost data --&gt;"/>
      <sheetName val="CapCosts_WLR"/>
      <sheetName val="CapCosts_WLA"/>
      <sheetName val="CapCosts_&lt;M3&gt;"/>
      <sheetName val="Comp.CapCosts"/>
      <sheetName val="OpCosts_WLR"/>
      <sheetName val="OpCosts_WLA"/>
      <sheetName val="OpCosts_&lt;M3&gt;"/>
      <sheetName val="ServList_Costs"/>
      <sheetName val="Comp.OpCosts"/>
      <sheetName val="Serv.Costs"/>
      <sheetName val="Serv.AdminCosts"/>
      <sheetName val="List_Components"/>
      <sheetName val="Service volumes --&gt;"/>
      <sheetName val="WLR.ServVolumes"/>
      <sheetName val="WLA.ServVolumes"/>
      <sheetName val="&lt;Market 3&gt;.ServVolumes"/>
      <sheetName val="List_Services"/>
      <sheetName val="FC.ServVolumes"/>
      <sheetName val="Usage factors --&gt;"/>
      <sheetName val="Dta_UsageFactor.Vol"/>
      <sheetName val="Dta_UsageFactor.Cost"/>
      <sheetName val="List_UF"/>
      <sheetName val="Alt_UsageFactor.Vol"/>
      <sheetName val="Alt_UsageFactor.Cost"/>
      <sheetName val="UF_Vol"/>
      <sheetName val="UF_CostPreAdj"/>
      <sheetName val="UF_Cost"/>
      <sheetName val="Component volumes --&gt;"/>
      <sheetName val="Check_CompVolumeBaseYr"/>
      <sheetName val="FC.CompVolumes"/>
      <sheetName val="Data check --&gt;"/>
      <sheetName val="BaseYr.CostsByComp"/>
      <sheetName val="BaseYr.CostsByServ"/>
      <sheetName val="Sum.AdminCosts"/>
    </sheetNames>
    <sheetDataSet>
      <sheetData sheetId="0">
        <row r="6">
          <cell r="E6" t="str">
            <v>Components</v>
          </cell>
        </row>
        <row r="10">
          <cell r="E10" t="str">
            <v>2011/12</v>
          </cell>
        </row>
        <row r="15">
          <cell r="E15" t="str">
            <v>WLR</v>
          </cell>
        </row>
        <row r="16">
          <cell r="E16" t="str">
            <v>WLA</v>
          </cell>
        </row>
        <row r="17">
          <cell r="E17" t="str">
            <v>&lt;Market 3&gt;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al-data-sets/live-tables-on-household-projection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reamble1">
    <outlinePr summaryBelow="0"/>
    <pageSetUpPr autoPageBreaks="0"/>
  </sheetPr>
  <dimension ref="A1:F40"/>
  <sheetViews>
    <sheetView showGridLines="0" showRowColHeaders="0" defaultGridColor="0" colorId="22" zoomScaleNormal="95" zoomScaleSheetLayoutView="75" workbookViewId="0">
      <pane ySplit="2" topLeftCell="A3" activePane="bottomLeft" state="frozen"/>
      <selection pane="bottomLeft" activeCell="E10" sqref="E10"/>
    </sheetView>
  </sheetViews>
  <sheetFormatPr defaultColWidth="12.7109375" defaultRowHeight="12"/>
  <cols>
    <col min="1" max="1" width="24.5703125" style="19" customWidth="1"/>
    <col min="2" max="2" width="25.5703125" style="19" customWidth="1"/>
    <col min="3" max="3" width="37.5703125" style="19" customWidth="1"/>
    <col min="4" max="4" width="14.5703125" style="19" customWidth="1"/>
    <col min="5" max="5" width="15" style="19" customWidth="1"/>
  </cols>
  <sheetData>
    <row r="1" spans="1:6" ht="12" customHeight="1">
      <c r="C1" s="40"/>
    </row>
    <row r="2" spans="1:6" ht="42" customHeight="1">
      <c r="A2"/>
      <c r="B2"/>
      <c r="C2"/>
      <c r="D2"/>
      <c r="E2"/>
      <c r="F2" s="41" t="str">
        <f>Workbook.Title</f>
        <v>LLU and WLR Volumes Forecasts</v>
      </c>
    </row>
    <row r="3" spans="1:6" ht="7.5" customHeight="1">
      <c r="A3"/>
      <c r="B3"/>
      <c r="C3"/>
      <c r="D3"/>
      <c r="E3"/>
    </row>
    <row r="4" spans="1:6" s="1" customFormat="1" ht="18">
      <c r="A4" s="17" t="s">
        <v>29</v>
      </c>
      <c r="C4"/>
      <c r="D4" s="24"/>
    </row>
    <row r="5" spans="1:6" ht="6" customHeight="1">
      <c r="A5"/>
      <c r="B5"/>
      <c r="C5"/>
      <c r="D5"/>
      <c r="E5"/>
    </row>
    <row r="6" spans="1:6">
      <c r="A6" s="18" t="s">
        <v>26</v>
      </c>
      <c r="B6" s="42" t="s">
        <v>319</v>
      </c>
      <c r="C6"/>
      <c r="D6"/>
    </row>
    <row r="7" spans="1:6">
      <c r="A7" s="215" t="s">
        <v>76</v>
      </c>
      <c r="B7" s="22"/>
      <c r="C7"/>
      <c r="D7"/>
      <c r="E7"/>
    </row>
    <row r="8" spans="1:6">
      <c r="A8" s="18" t="s">
        <v>25</v>
      </c>
      <c r="B8" s="26" t="s">
        <v>320</v>
      </c>
      <c r="C8"/>
      <c r="D8" s="30"/>
      <c r="E8"/>
    </row>
    <row r="9" spans="1:6">
      <c r="A9" s="18" t="s">
        <v>24</v>
      </c>
      <c r="B9" s="26" t="s">
        <v>313</v>
      </c>
      <c r="C9"/>
    </row>
    <row r="10" spans="1:6">
      <c r="A10" s="18" t="s">
        <v>2</v>
      </c>
      <c r="B10" s="19" t="s">
        <v>318</v>
      </c>
      <c r="C10" s="29"/>
      <c r="D10"/>
    </row>
    <row r="11" spans="1:6">
      <c r="A11" s="215" t="s">
        <v>48</v>
      </c>
      <c r="B11" s="26" t="s">
        <v>78</v>
      </c>
      <c r="C11"/>
      <c r="D11"/>
      <c r="E11"/>
    </row>
    <row r="12" spans="1:6">
      <c r="A12" s="18" t="s">
        <v>321</v>
      </c>
      <c r="B12" s="216" t="s">
        <v>378</v>
      </c>
      <c r="C12"/>
      <c r="D12"/>
      <c r="E12"/>
    </row>
    <row r="13" spans="1:6" s="44" customFormat="1">
      <c r="A13" s="18"/>
      <c r="B13" s="216"/>
    </row>
    <row r="14" spans="1:6">
      <c r="A14" s="18"/>
      <c r="B14" s="22"/>
      <c r="C14"/>
      <c r="D14"/>
      <c r="E14"/>
    </row>
    <row r="15" spans="1:6" s="1" customFormat="1" ht="18">
      <c r="A15" s="17" t="s">
        <v>31</v>
      </c>
      <c r="C15"/>
    </row>
    <row r="16" spans="1:6">
      <c r="A16"/>
      <c r="B16"/>
      <c r="C16"/>
      <c r="D16"/>
      <c r="E16"/>
    </row>
    <row r="17" spans="1:6" ht="15.75">
      <c r="A17" s="3" t="s">
        <v>0</v>
      </c>
      <c r="B17" s="3" t="s">
        <v>1</v>
      </c>
      <c r="C17" s="9"/>
      <c r="D17" s="3" t="s">
        <v>2</v>
      </c>
      <c r="E17" s="3"/>
    </row>
    <row r="18" spans="1:6">
      <c r="A18" s="19" t="s">
        <v>31</v>
      </c>
      <c r="B18" s="19" t="s">
        <v>32</v>
      </c>
    </row>
    <row r="19" spans="1:6">
      <c r="A19" s="26" t="s">
        <v>157</v>
      </c>
      <c r="B19" s="26" t="s">
        <v>310</v>
      </c>
      <c r="D19" s="232" t="s">
        <v>318</v>
      </c>
    </row>
    <row r="20" spans="1:6">
      <c r="A20" s="26" t="s">
        <v>309</v>
      </c>
      <c r="B20" s="26" t="s">
        <v>309</v>
      </c>
      <c r="D20" s="232" t="s">
        <v>318</v>
      </c>
      <c r="E20" s="55"/>
    </row>
    <row r="21" spans="1:6">
      <c r="A21" s="26" t="s">
        <v>299</v>
      </c>
      <c r="B21" s="26" t="s">
        <v>311</v>
      </c>
      <c r="D21" s="232" t="s">
        <v>318</v>
      </c>
    </row>
    <row r="22" spans="1:6">
      <c r="A22" s="26" t="s">
        <v>297</v>
      </c>
      <c r="B22" s="26" t="s">
        <v>312</v>
      </c>
      <c r="D22" s="232" t="s">
        <v>318</v>
      </c>
      <c r="E22" s="55"/>
    </row>
    <row r="23" spans="1:6">
      <c r="A23" s="26" t="s">
        <v>298</v>
      </c>
      <c r="B23" s="26" t="s">
        <v>298</v>
      </c>
      <c r="D23" s="232" t="s">
        <v>318</v>
      </c>
      <c r="E23" s="26"/>
    </row>
    <row r="28" spans="1:6" ht="18">
      <c r="A28" s="17" t="s">
        <v>327</v>
      </c>
      <c r="F28" s="53"/>
    </row>
    <row r="29" spans="1:6">
      <c r="A29" s="53"/>
      <c r="F29" s="53"/>
    </row>
    <row r="30" spans="1:6">
      <c r="A30" s="53" t="s">
        <v>328</v>
      </c>
      <c r="F30" s="53"/>
    </row>
    <row r="31" spans="1:6" ht="6" customHeight="1">
      <c r="A31" s="234" t="s">
        <v>329</v>
      </c>
      <c r="B31" s="234"/>
      <c r="C31" s="234"/>
      <c r="D31" s="234"/>
      <c r="E31" s="234"/>
      <c r="F31" s="234"/>
    </row>
    <row r="32" spans="1:6" ht="41.25" customHeight="1">
      <c r="A32" s="234" t="s">
        <v>330</v>
      </c>
      <c r="B32" s="234"/>
      <c r="C32" s="234"/>
      <c r="D32" s="234"/>
      <c r="E32" s="234"/>
      <c r="F32" s="234"/>
    </row>
    <row r="33" spans="1:6" ht="8.25" customHeight="1">
      <c r="A33" s="53"/>
      <c r="F33" s="53"/>
    </row>
    <row r="34" spans="1:6" ht="51" customHeight="1">
      <c r="A34" s="234" t="s">
        <v>331</v>
      </c>
      <c r="B34" s="234"/>
      <c r="C34" s="234"/>
      <c r="D34" s="234"/>
      <c r="E34" s="234"/>
      <c r="F34" s="234"/>
    </row>
    <row r="35" spans="1:6" ht="47.25" customHeight="1">
      <c r="A35" s="234" t="s">
        <v>332</v>
      </c>
      <c r="B35" s="234"/>
      <c r="C35" s="234"/>
      <c r="D35" s="234"/>
      <c r="E35" s="234"/>
      <c r="F35" s="234"/>
    </row>
    <row r="36" spans="1:6" ht="8.25" customHeight="1">
      <c r="A36" s="53" t="s">
        <v>329</v>
      </c>
      <c r="F36" s="53"/>
    </row>
    <row r="37" spans="1:6" ht="36" customHeight="1">
      <c r="A37" s="234" t="s">
        <v>333</v>
      </c>
      <c r="B37" s="234"/>
      <c r="C37" s="234"/>
      <c r="D37" s="234"/>
      <c r="E37" s="234"/>
      <c r="F37" s="234"/>
    </row>
    <row r="38" spans="1:6" ht="6" customHeight="1">
      <c r="A38" s="53" t="s">
        <v>329</v>
      </c>
      <c r="F38" s="53"/>
    </row>
    <row r="39" spans="1:6" ht="42" customHeight="1">
      <c r="A39" s="234" t="s">
        <v>334</v>
      </c>
      <c r="B39" s="234"/>
      <c r="C39" s="234"/>
      <c r="D39" s="234"/>
      <c r="E39" s="234"/>
      <c r="F39" s="234"/>
    </row>
    <row r="40" spans="1:6">
      <c r="A40" s="235"/>
      <c r="B40" s="235"/>
      <c r="C40" s="235"/>
      <c r="D40" s="235"/>
      <c r="E40" s="235"/>
      <c r="F40" s="235"/>
    </row>
  </sheetData>
  <mergeCells count="7">
    <mergeCell ref="A39:F39"/>
    <mergeCell ref="A40:F40"/>
    <mergeCell ref="A31:F31"/>
    <mergeCell ref="A32:F32"/>
    <mergeCell ref="A34:F34"/>
    <mergeCell ref="A35:F35"/>
    <mergeCell ref="A37:F37"/>
  </mergeCells>
  <phoneticPr fontId="0" type="noConversion"/>
  <dataValidations count="2">
    <dataValidation type="list" allowBlank="1" showInputMessage="1" promptTitle="Input Parameter" prompt="Select from list" sqref="D19:D23 B10">
      <formula1>"Work in progress, Ready for review, Approved for release, Archived"</formula1>
    </dataValidation>
    <dataValidation allowBlank="1" sqref="D18"/>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sheetPr codeName="Preamble2">
    <pageSetUpPr autoPageBreaks="0"/>
  </sheetPr>
  <dimension ref="A1:D7"/>
  <sheetViews>
    <sheetView showGridLines="0" showRowColHeaders="0" defaultGridColor="0" colorId="22" zoomScaleNormal="100" zoomScaleSheetLayoutView="75" workbookViewId="0">
      <pane ySplit="6" topLeftCell="A7" activePane="bottomLeft" state="frozen"/>
      <selection pane="bottomLeft" activeCell="A7" sqref="A7"/>
    </sheetView>
  </sheetViews>
  <sheetFormatPr defaultColWidth="12.7109375" defaultRowHeight="12"/>
  <cols>
    <col min="1" max="1" width="23.140625" style="15" customWidth="1"/>
    <col min="2" max="2" width="18.7109375" style="16" customWidth="1"/>
    <col min="3" max="3" width="50.28515625" style="15" customWidth="1"/>
    <col min="4" max="4" width="92.7109375" style="19" customWidth="1"/>
  </cols>
  <sheetData>
    <row r="1" spans="1:4" ht="12" customHeight="1">
      <c r="A1" s="19"/>
      <c r="B1" s="19"/>
      <c r="C1" s="40"/>
    </row>
    <row r="2" spans="1:4" ht="42" customHeight="1">
      <c r="A2"/>
      <c r="B2"/>
      <c r="C2"/>
      <c r="D2" s="43" t="s">
        <v>75</v>
      </c>
    </row>
    <row r="3" spans="1:4" ht="12" customHeight="1">
      <c r="A3"/>
      <c r="B3"/>
      <c r="C3"/>
      <c r="D3" s="43"/>
    </row>
    <row r="4" spans="1:4" s="1" customFormat="1" ht="18">
      <c r="A4" s="2" t="s">
        <v>30</v>
      </c>
    </row>
    <row r="5" spans="1:4" ht="6" customHeight="1">
      <c r="A5"/>
      <c r="B5"/>
      <c r="C5"/>
      <c r="D5"/>
    </row>
    <row r="6" spans="1:4" ht="15.75">
      <c r="A6" s="3" t="s">
        <v>24</v>
      </c>
      <c r="B6" s="28" t="s">
        <v>53</v>
      </c>
      <c r="C6" s="3" t="s">
        <v>28</v>
      </c>
      <c r="D6" s="28" t="s">
        <v>52</v>
      </c>
    </row>
    <row r="7" spans="1:4">
      <c r="A7" s="51"/>
      <c r="B7" s="51"/>
      <c r="C7" s="51"/>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3.xml><?xml version="1.0" encoding="utf-8"?>
<worksheet xmlns="http://schemas.openxmlformats.org/spreadsheetml/2006/main" xmlns:r="http://schemas.openxmlformats.org/officeDocument/2006/relationships">
  <sheetPr codeName="Preamble4">
    <outlinePr summaryBelow="0"/>
    <pageSetUpPr autoPageBreaks="0"/>
  </sheetPr>
  <dimension ref="A1:H31"/>
  <sheetViews>
    <sheetView showGridLines="0" showRowColHeaders="0" defaultGridColor="0" colorId="22" zoomScaleNormal="95" zoomScaleSheetLayoutView="75" workbookViewId="0">
      <pane ySplit="2" topLeftCell="A3" activePane="bottomLeft" state="frozen"/>
      <selection pane="bottomLeft" activeCell="A28" sqref="A28"/>
    </sheetView>
  </sheetViews>
  <sheetFormatPr defaultColWidth="12.7109375" defaultRowHeight="12"/>
  <cols>
    <col min="1" max="1" width="24.5703125" style="26" customWidth="1"/>
    <col min="2" max="2" width="29" style="26" customWidth="1"/>
    <col min="3" max="3" width="33.42578125" style="26" customWidth="1"/>
    <col min="4" max="4" width="36.42578125" style="26" customWidth="1"/>
    <col min="5" max="5" width="64.85546875" style="26" customWidth="1"/>
  </cols>
  <sheetData>
    <row r="1" spans="1:8" ht="12" customHeight="1">
      <c r="A1" s="19"/>
      <c r="B1" s="19"/>
      <c r="C1" s="40"/>
      <c r="D1" s="41"/>
    </row>
    <row r="2" spans="1:8" ht="42" customHeight="1">
      <c r="D2" s="40" t="s">
        <v>64</v>
      </c>
    </row>
    <row r="3" spans="1:8">
      <c r="A3"/>
      <c r="B3"/>
      <c r="C3"/>
      <c r="D3"/>
      <c r="E3"/>
    </row>
    <row r="4" spans="1:8" ht="18">
      <c r="A4" s="27" t="s">
        <v>77</v>
      </c>
      <c r="C4" s="23"/>
      <c r="D4"/>
      <c r="E4"/>
    </row>
    <row r="5" spans="1:8" ht="12" customHeight="1">
      <c r="D5" s="47"/>
      <c r="E5" s="47"/>
      <c r="F5" s="47"/>
      <c r="G5" s="47"/>
      <c r="H5" s="47"/>
    </row>
    <row r="6" spans="1:8">
      <c r="A6" s="18" t="s">
        <v>35</v>
      </c>
      <c r="B6" s="22" t="s">
        <v>36</v>
      </c>
      <c r="D6" s="47"/>
      <c r="E6" s="47"/>
      <c r="F6" s="47"/>
      <c r="G6" s="47"/>
      <c r="H6" s="47"/>
    </row>
    <row r="7" spans="1:8">
      <c r="A7" s="25" t="s">
        <v>57</v>
      </c>
      <c r="B7" s="22" t="s">
        <v>62</v>
      </c>
      <c r="D7" s="47"/>
      <c r="E7" s="47"/>
      <c r="F7" s="47"/>
      <c r="G7" s="47"/>
      <c r="H7" s="47"/>
    </row>
    <row r="8" spans="1:8" ht="12.75" customHeight="1">
      <c r="A8" s="25" t="s">
        <v>24</v>
      </c>
      <c r="B8" s="22" t="s">
        <v>44</v>
      </c>
      <c r="D8" s="47"/>
      <c r="E8" s="47"/>
      <c r="F8" s="47"/>
      <c r="G8" s="47"/>
      <c r="H8" s="47"/>
    </row>
    <row r="9" spans="1:8" ht="12" customHeight="1">
      <c r="A9" s="25" t="s">
        <v>2</v>
      </c>
      <c r="B9" s="22" t="s">
        <v>49</v>
      </c>
      <c r="D9" s="47"/>
      <c r="E9" s="48"/>
      <c r="F9" s="47"/>
      <c r="G9" s="47"/>
      <c r="H9" s="47"/>
    </row>
    <row r="10" spans="1:8" ht="6" customHeight="1">
      <c r="A10" s="25"/>
      <c r="B10"/>
      <c r="D10" s="47"/>
      <c r="E10" s="47"/>
      <c r="F10" s="47"/>
      <c r="G10" s="47"/>
      <c r="H10" s="47"/>
    </row>
    <row r="11" spans="1:8">
      <c r="A11" s="18" t="s">
        <v>37</v>
      </c>
      <c r="B11" s="49" t="s">
        <v>38</v>
      </c>
      <c r="C11" s="47" t="s">
        <v>56</v>
      </c>
      <c r="D11" s="47"/>
      <c r="E11" s="47"/>
      <c r="F11" s="47"/>
      <c r="G11" s="47"/>
      <c r="H11" s="47"/>
    </row>
    <row r="12" spans="1:8">
      <c r="B12" s="49" t="s">
        <v>54</v>
      </c>
      <c r="C12" s="47" t="s">
        <v>56</v>
      </c>
      <c r="D12" s="47"/>
      <c r="E12" s="47"/>
      <c r="F12" s="47"/>
      <c r="G12" s="47"/>
      <c r="H12" s="47"/>
    </row>
    <row r="13" spans="1:8">
      <c r="B13" s="49" t="s">
        <v>55</v>
      </c>
      <c r="C13" s="47" t="s">
        <v>56</v>
      </c>
      <c r="D13" s="47"/>
      <c r="E13" s="47"/>
      <c r="F13" s="47"/>
      <c r="G13" s="47"/>
      <c r="H13" s="47"/>
    </row>
    <row r="14" spans="1:8" ht="12.75" customHeight="1">
      <c r="B14" s="33" t="s">
        <v>39</v>
      </c>
      <c r="C14" s="47" t="s">
        <v>56</v>
      </c>
      <c r="D14" s="47"/>
      <c r="E14" s="47"/>
      <c r="F14" s="47"/>
      <c r="G14" s="47"/>
      <c r="H14" s="47"/>
    </row>
    <row r="15" spans="1:8" ht="6" customHeight="1">
      <c r="B15" s="33"/>
      <c r="C15"/>
      <c r="D15" s="47"/>
      <c r="E15" s="47"/>
      <c r="F15" s="47"/>
      <c r="G15" s="47"/>
      <c r="H15" s="47"/>
    </row>
    <row r="16" spans="1:8">
      <c r="A16" s="25" t="s">
        <v>63</v>
      </c>
      <c r="B16" s="49" t="s">
        <v>58</v>
      </c>
      <c r="C16" s="47" t="s">
        <v>56</v>
      </c>
      <c r="D16" s="47"/>
      <c r="E16" s="47"/>
      <c r="F16" s="47"/>
      <c r="G16" s="47"/>
      <c r="H16" s="47"/>
    </row>
    <row r="17" spans="1:8">
      <c r="A17" s="18"/>
      <c r="B17" s="49" t="s">
        <v>59</v>
      </c>
      <c r="C17" s="47" t="s">
        <v>56</v>
      </c>
      <c r="D17" s="47"/>
      <c r="E17" s="47"/>
      <c r="F17" s="47"/>
      <c r="G17" s="47"/>
      <c r="H17" s="47"/>
    </row>
    <row r="18" spans="1:8">
      <c r="A18" s="18"/>
      <c r="B18" s="49" t="s">
        <v>60</v>
      </c>
      <c r="C18" s="47" t="s">
        <v>56</v>
      </c>
      <c r="D18" s="47"/>
      <c r="E18" s="47"/>
      <c r="F18" s="47"/>
      <c r="G18" s="47"/>
      <c r="H18" s="47"/>
    </row>
    <row r="19" spans="1:8">
      <c r="A19" s="18"/>
      <c r="B19" s="49" t="s">
        <v>61</v>
      </c>
      <c r="C19" s="47" t="s">
        <v>56</v>
      </c>
      <c r="D19" s="47"/>
      <c r="E19" s="47"/>
      <c r="F19" s="47"/>
      <c r="G19" s="47"/>
      <c r="H19" s="47"/>
    </row>
    <row r="20" spans="1:8" ht="6.75" customHeight="1">
      <c r="A20" s="18"/>
      <c r="B20" s="49"/>
      <c r="C20"/>
      <c r="D20" s="47"/>
      <c r="E20" s="47"/>
      <c r="F20" s="47"/>
      <c r="G20" s="47"/>
      <c r="H20" s="47"/>
    </row>
    <row r="21" spans="1:8" ht="15" customHeight="1">
      <c r="A21" s="18" t="s">
        <v>40</v>
      </c>
      <c r="B21" s="49" t="s">
        <v>41</v>
      </c>
      <c r="C21" s="47" t="s">
        <v>56</v>
      </c>
      <c r="D21" s="47"/>
      <c r="E21" s="47"/>
      <c r="F21" s="47"/>
      <c r="G21" s="47"/>
      <c r="H21" s="47"/>
    </row>
    <row r="22" spans="1:8">
      <c r="A22" s="18"/>
      <c r="B22" s="33" t="s">
        <v>42</v>
      </c>
      <c r="C22" s="47" t="s">
        <v>56</v>
      </c>
      <c r="D22" s="47"/>
      <c r="E22" s="47"/>
      <c r="F22" s="47"/>
      <c r="G22" s="47"/>
      <c r="H22" s="47"/>
    </row>
    <row r="23" spans="1:8">
      <c r="A23" s="18"/>
      <c r="B23" s="49" t="s">
        <v>43</v>
      </c>
      <c r="C23" s="47" t="s">
        <v>56</v>
      </c>
      <c r="D23"/>
      <c r="E23"/>
    </row>
    <row r="24" spans="1:8" ht="4.5" customHeight="1">
      <c r="A24"/>
      <c r="B24"/>
      <c r="C24"/>
      <c r="D24"/>
      <c r="E24"/>
    </row>
    <row r="25" spans="1:8" s="1" customFormat="1" ht="18">
      <c r="A25" s="27" t="s">
        <v>45</v>
      </c>
      <c r="C25"/>
    </row>
    <row r="26" spans="1:8" ht="6" customHeight="1">
      <c r="A26"/>
      <c r="B26"/>
      <c r="C26"/>
      <c r="D26"/>
      <c r="E26"/>
    </row>
    <row r="27" spans="1:8" ht="15.75">
      <c r="A27" s="3" t="s">
        <v>0</v>
      </c>
      <c r="B27" s="28" t="s">
        <v>47</v>
      </c>
      <c r="C27" s="28" t="s">
        <v>27</v>
      </c>
      <c r="D27" s="28" t="s">
        <v>46</v>
      </c>
    </row>
    <row r="28" spans="1:8">
      <c r="D28" s="22"/>
    </row>
    <row r="29" spans="1:8">
      <c r="D29" s="22"/>
    </row>
    <row r="30" spans="1:8">
      <c r="D30" s="22"/>
    </row>
    <row r="31" spans="1:8">
      <c r="B31" s="21"/>
      <c r="D31"/>
    </row>
  </sheetData>
  <phoneticPr fontId="0" type="noConversion"/>
  <dataValidations count="2">
    <dataValidation type="list" allowBlank="1" showInputMessage="1" showErrorMessage="1" sqref="C21:C23 C11:C14 C16:C19">
      <formula1>"Yes,No"</formula1>
    </dataValidation>
    <dataValidation type="list" allowBlank="1" showInputMessage="1" showErrorMessage="1" promptTitle="Input Parameter" prompt="Select from list" sqref="B9 D28:D30">
      <formula1>"QA in progress, QA completed but issues to resolve, QA completed"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4.xml><?xml version="1.0" encoding="utf-8"?>
<worksheet xmlns="http://schemas.openxmlformats.org/spreadsheetml/2006/main" xmlns:r="http://schemas.openxmlformats.org/officeDocument/2006/relationships">
  <sheetPr codeName="Preamble3">
    <outlinePr summaryBelow="0"/>
    <pageSetUpPr autoPageBreaks="0" fitToPage="1"/>
  </sheetPr>
  <dimension ref="A1:K39"/>
  <sheetViews>
    <sheetView showGridLines="0" showRowColHeaders="0" defaultGridColor="0" colorId="22" zoomScaleNormal="100" workbookViewId="0">
      <pane ySplit="2" topLeftCell="A3" activePane="bottomLeft" state="frozen"/>
      <selection pane="bottomLeft" activeCell="E30" sqref="E30"/>
    </sheetView>
  </sheetViews>
  <sheetFormatPr defaultColWidth="12.7109375" defaultRowHeight="12" outlineLevelRow="1"/>
  <cols>
    <col min="1" max="1" width="2.7109375" customWidth="1"/>
    <col min="2" max="2" width="26.7109375" customWidth="1"/>
    <col min="7" max="7" width="7.140625" customWidth="1"/>
  </cols>
  <sheetData>
    <row r="1" spans="1:8" ht="12" customHeight="1">
      <c r="A1" s="19"/>
      <c r="B1" s="19"/>
      <c r="C1" s="40"/>
      <c r="E1" s="19"/>
    </row>
    <row r="2" spans="1:8" ht="42" customHeight="1">
      <c r="H2" s="43" t="s">
        <v>7</v>
      </c>
    </row>
    <row r="3" spans="1:8">
      <c r="A3" s="7"/>
    </row>
    <row r="5" spans="1:8" ht="18">
      <c r="A5" s="38" t="s">
        <v>72</v>
      </c>
    </row>
    <row r="6" spans="1:8" ht="8.25" customHeight="1"/>
    <row r="7" spans="1:8" ht="6.75" customHeight="1">
      <c r="A7" s="31"/>
    </row>
    <row r="8" spans="1:8">
      <c r="B8" s="34" t="s">
        <v>51</v>
      </c>
      <c r="C8" s="50">
        <v>100</v>
      </c>
      <c r="D8" s="7"/>
      <c r="E8" t="s">
        <v>20</v>
      </c>
    </row>
    <row r="9" spans="1:8">
      <c r="B9" s="14"/>
      <c r="C9" s="32"/>
      <c r="D9" s="7"/>
    </row>
    <row r="10" spans="1:8">
      <c r="B10" s="4" t="s">
        <v>3</v>
      </c>
      <c r="C10" s="46">
        <v>100</v>
      </c>
      <c r="E10" t="s">
        <v>5</v>
      </c>
    </row>
    <row r="11" spans="1:8">
      <c r="B11" s="14"/>
      <c r="C11" s="32"/>
      <c r="D11" s="7"/>
    </row>
    <row r="12" spans="1:8">
      <c r="B12" s="4" t="s">
        <v>4</v>
      </c>
      <c r="C12" s="6">
        <v>100</v>
      </c>
      <c r="E12" t="s">
        <v>50</v>
      </c>
    </row>
    <row r="13" spans="1:8">
      <c r="B13" s="14"/>
      <c r="C13" s="32"/>
      <c r="D13" s="7"/>
    </row>
    <row r="14" spans="1:8">
      <c r="B14" s="34" t="s">
        <v>65</v>
      </c>
      <c r="C14" s="11" t="s">
        <v>9</v>
      </c>
      <c r="E14" t="s">
        <v>23</v>
      </c>
    </row>
    <row r="15" spans="1:8">
      <c r="B15" s="14"/>
      <c r="C15" s="32"/>
      <c r="D15" s="7"/>
    </row>
    <row r="16" spans="1:8">
      <c r="B16" s="34" t="s">
        <v>73</v>
      </c>
      <c r="C16" s="32"/>
      <c r="D16" s="7"/>
      <c r="E16" t="s">
        <v>74</v>
      </c>
    </row>
    <row r="17" spans="2:11">
      <c r="B17" s="14"/>
      <c r="C17" s="32"/>
      <c r="D17" s="7"/>
    </row>
    <row r="18" spans="2:11" ht="15.75">
      <c r="B18" s="35" t="s">
        <v>66</v>
      </c>
      <c r="C18" s="32"/>
      <c r="D18" s="7"/>
    </row>
    <row r="19" spans="2:11">
      <c r="B19" s="14"/>
      <c r="C19" s="32"/>
      <c r="D19" s="7"/>
    </row>
    <row r="20" spans="2:11" outlineLevel="1">
      <c r="B20" s="34" t="s">
        <v>67</v>
      </c>
      <c r="C20" s="50">
        <v>100</v>
      </c>
      <c r="D20" s="7"/>
      <c r="E20" t="s">
        <v>20</v>
      </c>
    </row>
    <row r="21" spans="2:11" outlineLevel="1">
      <c r="B21" s="14"/>
      <c r="C21" s="32"/>
      <c r="D21" s="7"/>
    </row>
    <row r="22" spans="2:11" outlineLevel="1">
      <c r="B22" s="14" t="s">
        <v>6</v>
      </c>
      <c r="C22" s="52">
        <v>100</v>
      </c>
      <c r="D22" s="7"/>
      <c r="E22" t="s">
        <v>19</v>
      </c>
    </row>
    <row r="23" spans="2:11" outlineLevel="1"/>
    <row r="24" spans="2:11" outlineLevel="1">
      <c r="B24" s="4" t="s">
        <v>34</v>
      </c>
      <c r="C24" s="20">
        <v>0</v>
      </c>
      <c r="D24" s="7"/>
      <c r="E24" t="s">
        <v>21</v>
      </c>
      <c r="F24" s="13"/>
      <c r="G24" s="13"/>
      <c r="H24" s="13"/>
      <c r="I24" s="13"/>
      <c r="J24" s="13"/>
      <c r="K24" s="13"/>
    </row>
    <row r="25" spans="2:11" outlineLevel="1"/>
    <row r="26" spans="2:11" outlineLevel="1">
      <c r="B26" s="36" t="s">
        <v>70</v>
      </c>
      <c r="C26" s="11" t="s">
        <v>9</v>
      </c>
      <c r="E26" t="s">
        <v>23</v>
      </c>
    </row>
    <row r="27" spans="2:11" outlineLevel="1"/>
    <row r="28" spans="2:11" outlineLevel="1">
      <c r="B28" s="36" t="s">
        <v>68</v>
      </c>
      <c r="C28" s="37" t="s">
        <v>68</v>
      </c>
      <c r="E28" t="s">
        <v>71</v>
      </c>
    </row>
    <row r="29" spans="2:11" outlineLevel="1"/>
    <row r="30" spans="2:11" outlineLevel="1">
      <c r="B30" s="36" t="s">
        <v>69</v>
      </c>
      <c r="C30" s="10" t="s">
        <v>8</v>
      </c>
      <c r="D30" s="7"/>
      <c r="E30" t="s">
        <v>22</v>
      </c>
    </row>
    <row r="31" spans="2:11" outlineLevel="1"/>
    <row r="32" spans="2:11" ht="23.25" outlineLevel="1">
      <c r="B32" s="12" t="s">
        <v>10</v>
      </c>
      <c r="C32" s="12" t="s">
        <v>18</v>
      </c>
      <c r="E32" t="s">
        <v>14</v>
      </c>
    </row>
    <row r="33" spans="2:5" outlineLevel="1"/>
    <row r="34" spans="2:5" ht="18" outlineLevel="1">
      <c r="B34" s="5" t="s">
        <v>11</v>
      </c>
      <c r="C34" s="5" t="s">
        <v>18</v>
      </c>
      <c r="E34" t="s">
        <v>15</v>
      </c>
    </row>
    <row r="35" spans="2:5" outlineLevel="1"/>
    <row r="36" spans="2:5" ht="15.75" outlineLevel="1">
      <c r="B36" s="9" t="s">
        <v>12</v>
      </c>
      <c r="C36" s="9" t="s">
        <v>18</v>
      </c>
      <c r="E36" t="s">
        <v>16</v>
      </c>
    </row>
    <row r="37" spans="2:5" outlineLevel="1"/>
    <row r="38" spans="2:5" outlineLevel="1">
      <c r="B38" s="8" t="s">
        <v>13</v>
      </c>
      <c r="C38" s="8" t="s">
        <v>18</v>
      </c>
      <c r="E38" t="s">
        <v>17</v>
      </c>
    </row>
    <row r="39" spans="2:5" outlineLevel="1"/>
  </sheetData>
  <phoneticPr fontId="0" type="noConversion"/>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&amp;L&amp;A :page&amp;P&amp;COfcom Confidential&amp;R&amp;D</oddFooter>
  </headerFooter>
  <drawing r:id="rId2"/>
</worksheet>
</file>

<file path=xl/worksheets/sheet5.xml><?xml version="1.0" encoding="utf-8"?>
<worksheet xmlns="http://schemas.openxmlformats.org/spreadsheetml/2006/main" xmlns:r="http://schemas.openxmlformats.org/officeDocument/2006/relationships">
  <sheetPr codeName="Sheet23">
    <tabColor theme="4" tint="0.59999389629810485"/>
    <pageSetUpPr autoPageBreaks="0"/>
  </sheetPr>
  <dimension ref="A1:XET25"/>
  <sheetViews>
    <sheetView showGridLines="0" tabSelected="1" defaultGridColor="0" colorId="22" zoomScaleNormal="100" workbookViewId="0">
      <pane ySplit="1" topLeftCell="A2" activePane="bottomLeft" state="frozen"/>
      <selection pane="bottomLeft" activeCell="D4" sqref="D4"/>
    </sheetView>
  </sheetViews>
  <sheetFormatPr defaultColWidth="12.7109375" defaultRowHeight="12"/>
  <cols>
    <col min="1" max="1" width="5" style="44" customWidth="1"/>
    <col min="2" max="2" width="26.7109375" style="44" customWidth="1"/>
    <col min="3" max="3" width="18.42578125" style="76" customWidth="1"/>
    <col min="4" max="4" width="17" style="76" customWidth="1"/>
    <col min="5" max="5" width="15" style="76" customWidth="1"/>
    <col min="6" max="8" width="21.42578125" style="76" bestFit="1" customWidth="1"/>
    <col min="9" max="11" width="9.28515625" style="76" customWidth="1"/>
    <col min="12" max="16384" width="12.7109375" style="44"/>
  </cols>
  <sheetData>
    <row r="1" spans="1:11" s="39" customFormat="1" ht="40.5" customHeight="1">
      <c r="A1" s="45" t="s">
        <v>157</v>
      </c>
      <c r="C1" s="76"/>
      <c r="D1" s="76"/>
      <c r="E1" s="76"/>
      <c r="F1" s="76"/>
      <c r="G1" s="76"/>
      <c r="H1" s="76"/>
      <c r="I1" s="76"/>
      <c r="J1" s="76"/>
      <c r="K1" s="76"/>
    </row>
    <row r="3" spans="1:11" s="64" customFormat="1" ht="15.75">
      <c r="A3" s="122" t="s">
        <v>156</v>
      </c>
      <c r="C3" s="123"/>
      <c r="D3" s="162" t="s">
        <v>203</v>
      </c>
      <c r="E3" s="162"/>
      <c r="F3" s="190" t="s">
        <v>85</v>
      </c>
      <c r="G3" s="194" t="s">
        <v>84</v>
      </c>
      <c r="H3" s="186" t="s">
        <v>83</v>
      </c>
      <c r="I3" s="123"/>
      <c r="J3" s="123"/>
      <c r="K3" s="123"/>
    </row>
    <row r="4" spans="1:11">
      <c r="D4" s="202" t="s">
        <v>84</v>
      </c>
      <c r="F4" s="191"/>
      <c r="G4" s="195"/>
      <c r="H4" s="187"/>
    </row>
    <row r="5" spans="1:11" ht="15">
      <c r="A5" s="83" t="s">
        <v>88</v>
      </c>
      <c r="F5" s="191"/>
      <c r="G5" s="195"/>
      <c r="H5" s="187"/>
    </row>
    <row r="6" spans="1:11" ht="12" customHeight="1">
      <c r="A6" s="83"/>
      <c r="F6" s="191"/>
      <c r="G6" s="195"/>
      <c r="H6" s="187"/>
    </row>
    <row r="7" spans="1:11">
      <c r="B7" s="36" t="s">
        <v>136</v>
      </c>
      <c r="C7" s="76" t="s">
        <v>261</v>
      </c>
      <c r="D7" s="82" t="str">
        <f>INDEX(F7:H7,1,MATCH($D$4,$F$3:$H$3,0))</f>
        <v>Base</v>
      </c>
      <c r="E7" s="82"/>
      <c r="F7" s="203" t="s">
        <v>229</v>
      </c>
      <c r="G7" s="203" t="s">
        <v>230</v>
      </c>
      <c r="H7" s="203" t="s">
        <v>230</v>
      </c>
      <c r="I7" s="82"/>
      <c r="J7" s="82"/>
      <c r="K7" s="82"/>
    </row>
    <row r="8" spans="1:11">
      <c r="B8" s="36"/>
      <c r="D8" s="82"/>
      <c r="E8" s="82"/>
      <c r="F8" s="192"/>
      <c r="G8" s="196"/>
      <c r="H8" s="188"/>
      <c r="I8" s="82"/>
      <c r="J8" s="82"/>
      <c r="K8" s="82"/>
    </row>
    <row r="9" spans="1:11">
      <c r="B9" s="36" t="s">
        <v>262</v>
      </c>
      <c r="C9" s="76" t="s">
        <v>264</v>
      </c>
      <c r="D9" s="82" t="str">
        <f>INDEX(F9:H9,1,MATCH($D$4,$F$3:$H$3,0))</f>
        <v>Remove Mobile Only HHs</v>
      </c>
      <c r="E9" s="36"/>
      <c r="F9" s="203" t="s">
        <v>239</v>
      </c>
      <c r="G9" s="203" t="s">
        <v>239</v>
      </c>
      <c r="H9" s="203" t="s">
        <v>239</v>
      </c>
      <c r="I9" s="36"/>
      <c r="J9" s="36"/>
      <c r="K9" s="36"/>
    </row>
    <row r="10" spans="1:11">
      <c r="D10" s="82"/>
      <c r="E10" s="36"/>
      <c r="F10" s="192"/>
      <c r="G10" s="196"/>
      <c r="H10" s="188"/>
      <c r="I10" s="36"/>
      <c r="J10" s="36"/>
      <c r="K10" s="36"/>
    </row>
    <row r="11" spans="1:11">
      <c r="B11" s="36" t="s">
        <v>139</v>
      </c>
      <c r="C11" s="76" t="s">
        <v>204</v>
      </c>
      <c r="D11" s="82" t="str">
        <f>INDEX(F11:H11,1,MATCH($D$4,$F$3:$H$3,0))</f>
        <v>Alternative</v>
      </c>
      <c r="E11" s="82"/>
      <c r="F11" s="203" t="s">
        <v>230</v>
      </c>
      <c r="G11" s="203" t="s">
        <v>229</v>
      </c>
      <c r="H11" s="203" t="s">
        <v>229</v>
      </c>
      <c r="I11" s="82"/>
      <c r="J11" s="82"/>
      <c r="K11" s="82"/>
    </row>
    <row r="12" spans="1:11">
      <c r="B12" s="36"/>
      <c r="C12" s="76" t="s">
        <v>263</v>
      </c>
      <c r="D12" s="82"/>
      <c r="E12" s="82"/>
      <c r="F12" s="192"/>
      <c r="G12" s="196"/>
      <c r="H12" s="188"/>
      <c r="I12" s="82"/>
      <c r="J12" s="82"/>
      <c r="K12" s="82"/>
    </row>
    <row r="13" spans="1:11">
      <c r="B13" s="36"/>
      <c r="D13" s="82"/>
      <c r="E13" s="82"/>
      <c r="F13" s="192"/>
      <c r="G13" s="196"/>
      <c r="H13" s="188"/>
      <c r="I13" s="82"/>
      <c r="J13" s="82"/>
      <c r="K13" s="82"/>
    </row>
    <row r="14" spans="1:11" ht="15">
      <c r="A14" s="83" t="s">
        <v>81</v>
      </c>
      <c r="D14" s="82"/>
      <c r="E14" s="82"/>
      <c r="F14" s="192"/>
      <c r="G14" s="196"/>
      <c r="H14" s="188"/>
      <c r="I14" s="82"/>
      <c r="J14" s="82"/>
      <c r="K14" s="82"/>
    </row>
    <row r="15" spans="1:11" ht="13.5" customHeight="1">
      <c r="A15" s="83"/>
      <c r="D15" s="82"/>
      <c r="E15" s="82"/>
      <c r="F15" s="192"/>
      <c r="G15" s="196"/>
      <c r="H15" s="188"/>
      <c r="I15" s="82"/>
      <c r="J15" s="82"/>
      <c r="K15" s="82"/>
    </row>
    <row r="16" spans="1:11">
      <c r="B16" s="36" t="s">
        <v>273</v>
      </c>
      <c r="C16" s="76" t="s">
        <v>205</v>
      </c>
      <c r="D16" s="82" t="str">
        <f>INDEX(F16:H16,1,MATCH($D$4,$F$3:$H$3,0))</f>
        <v>Medium</v>
      </c>
      <c r="E16" s="82"/>
      <c r="F16" s="203" t="s">
        <v>85</v>
      </c>
      <c r="G16" s="203" t="s">
        <v>84</v>
      </c>
      <c r="H16" s="203" t="s">
        <v>83</v>
      </c>
      <c r="I16" s="82"/>
      <c r="J16" s="82"/>
      <c r="K16" s="82"/>
    </row>
    <row r="17" spans="1:16374">
      <c r="B17" s="36"/>
      <c r="D17" s="82"/>
      <c r="E17" s="82"/>
      <c r="F17" s="192"/>
      <c r="G17" s="196"/>
      <c r="H17" s="188"/>
      <c r="I17" s="82"/>
      <c r="J17" s="82"/>
      <c r="K17" s="82"/>
    </row>
    <row r="18" spans="1:16374">
      <c r="B18" s="36" t="s">
        <v>140</v>
      </c>
      <c r="C18" s="76" t="s">
        <v>206</v>
      </c>
      <c r="D18" s="82" t="str">
        <f>INDEX(F18:H18,1,MATCH($D$4,$F$3:$H$3,0))</f>
        <v>Medium</v>
      </c>
      <c r="E18" s="82"/>
      <c r="F18" s="203" t="s">
        <v>85</v>
      </c>
      <c r="G18" s="203" t="s">
        <v>84</v>
      </c>
      <c r="H18" s="203" t="s">
        <v>83</v>
      </c>
      <c r="I18" s="82"/>
      <c r="J18" s="82"/>
      <c r="K18" s="82"/>
    </row>
    <row r="19" spans="1:16374">
      <c r="D19" s="82"/>
      <c r="E19" s="82"/>
      <c r="F19" s="192"/>
      <c r="G19" s="196"/>
      <c r="H19" s="188"/>
      <c r="I19" s="82"/>
      <c r="J19" s="82"/>
      <c r="K19" s="82"/>
    </row>
    <row r="20" spans="1:16374" s="76" customFormat="1" ht="15.75">
      <c r="A20" s="9"/>
      <c r="B20" s="36" t="s">
        <v>274</v>
      </c>
      <c r="C20" s="76" t="s">
        <v>207</v>
      </c>
      <c r="D20" s="82" t="str">
        <f>INDEX(F20:H20,1,MATCH($D$4,$F$3:$H$3,0))</f>
        <v>Medium</v>
      </c>
      <c r="E20" s="82"/>
      <c r="F20" s="203" t="s">
        <v>85</v>
      </c>
      <c r="G20" s="203" t="s">
        <v>84</v>
      </c>
      <c r="H20" s="203" t="s">
        <v>83</v>
      </c>
      <c r="I20" s="82"/>
      <c r="J20" s="82"/>
      <c r="K20" s="82"/>
    </row>
    <row r="21" spans="1:16374">
      <c r="B21" s="53"/>
      <c r="D21" s="82"/>
      <c r="E21" s="82"/>
      <c r="F21" s="192"/>
      <c r="G21" s="196"/>
      <c r="H21" s="188"/>
      <c r="I21" s="82"/>
      <c r="J21" s="82"/>
      <c r="K21" s="82"/>
    </row>
    <row r="22" spans="1:16374">
      <c r="A22" s="36"/>
      <c r="B22" s="36" t="s">
        <v>275</v>
      </c>
      <c r="C22" s="76" t="s">
        <v>236</v>
      </c>
      <c r="D22" s="82" t="str">
        <f>INDEX(F22:H22,1,MATCH($D$4,$F$3:$H$3,0))</f>
        <v>Medium</v>
      </c>
      <c r="E22" s="36"/>
      <c r="F22" s="203" t="s">
        <v>85</v>
      </c>
      <c r="G22" s="203" t="s">
        <v>84</v>
      </c>
      <c r="H22" s="203" t="s">
        <v>83</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c r="AML22" s="36"/>
      <c r="AMM22" s="36"/>
      <c r="AMN22" s="36"/>
      <c r="AMO22" s="36"/>
      <c r="AMP22" s="36"/>
      <c r="AMQ22" s="36"/>
      <c r="AMR22" s="36"/>
      <c r="AMS22" s="36"/>
      <c r="AMT22" s="36"/>
      <c r="AMU22" s="36"/>
      <c r="AMV22" s="36"/>
      <c r="AMW22" s="36"/>
      <c r="AMX22" s="36"/>
      <c r="AMY22" s="36"/>
      <c r="AMZ22" s="36"/>
      <c r="ANA22" s="36"/>
      <c r="ANB22" s="36"/>
      <c r="ANC22" s="36"/>
      <c r="AND22" s="36"/>
      <c r="ANE22" s="36"/>
      <c r="ANF22" s="36"/>
      <c r="ANG22" s="36"/>
      <c r="ANH22" s="36"/>
      <c r="ANI22" s="36"/>
      <c r="ANJ22" s="36"/>
      <c r="ANK22" s="36"/>
      <c r="ANL22" s="36"/>
      <c r="ANM22" s="36"/>
      <c r="ANN22" s="36"/>
      <c r="ANO22" s="36"/>
      <c r="ANP22" s="36"/>
      <c r="ANQ22" s="36"/>
      <c r="ANR22" s="36"/>
      <c r="ANS22" s="36"/>
      <c r="ANT22" s="36"/>
      <c r="ANU22" s="36"/>
      <c r="ANV22" s="36"/>
      <c r="ANW22" s="36"/>
      <c r="ANX22" s="36"/>
      <c r="ANY22" s="36"/>
      <c r="ANZ22" s="36"/>
      <c r="AOA22" s="36"/>
      <c r="AOB22" s="36"/>
      <c r="AOC22" s="36"/>
      <c r="AOD22" s="36"/>
      <c r="AOE22" s="36"/>
      <c r="AOF22" s="36"/>
      <c r="AOG22" s="36"/>
      <c r="AOH22" s="36"/>
      <c r="AOI22" s="36"/>
      <c r="AOJ22" s="36"/>
      <c r="AOK22" s="36"/>
      <c r="AOL22" s="36"/>
      <c r="AOM22" s="36"/>
      <c r="AON22" s="36"/>
      <c r="AOO22" s="36"/>
      <c r="AOP22" s="36"/>
      <c r="AOQ22" s="36"/>
      <c r="AOR22" s="36"/>
      <c r="AOS22" s="36"/>
      <c r="AOT22" s="36"/>
      <c r="AOU22" s="36"/>
      <c r="AOV22" s="36"/>
      <c r="AOW22" s="36"/>
      <c r="AOX22" s="36"/>
      <c r="AOY22" s="36"/>
      <c r="AOZ22" s="36"/>
      <c r="APA22" s="36"/>
      <c r="APB22" s="36"/>
      <c r="APC22" s="36"/>
      <c r="APD22" s="36"/>
      <c r="APE22" s="36"/>
      <c r="APF22" s="36"/>
      <c r="APG22" s="36"/>
      <c r="APH22" s="36"/>
      <c r="API22" s="36"/>
      <c r="APJ22" s="36"/>
      <c r="APK22" s="36"/>
      <c r="APL22" s="36"/>
      <c r="APM22" s="36"/>
      <c r="APN22" s="36"/>
      <c r="APO22" s="36"/>
      <c r="APP22" s="36"/>
      <c r="APQ22" s="36"/>
      <c r="APR22" s="36"/>
      <c r="APS22" s="36"/>
      <c r="APT22" s="36"/>
      <c r="APU22" s="36"/>
      <c r="APV22" s="36"/>
      <c r="APW22" s="36"/>
      <c r="APX22" s="36"/>
      <c r="APY22" s="36"/>
      <c r="APZ22" s="36"/>
      <c r="AQA22" s="36"/>
      <c r="AQB22" s="36"/>
      <c r="AQC22" s="36"/>
      <c r="AQD22" s="36"/>
      <c r="AQE22" s="36"/>
      <c r="AQF22" s="36"/>
      <c r="AQG22" s="36"/>
      <c r="AQH22" s="36"/>
      <c r="AQI22" s="36"/>
      <c r="AQJ22" s="36"/>
      <c r="AQK22" s="36"/>
      <c r="AQL22" s="36"/>
      <c r="AQM22" s="36"/>
      <c r="AQN22" s="36"/>
      <c r="AQO22" s="36"/>
      <c r="AQP22" s="36"/>
      <c r="AQQ22" s="36"/>
      <c r="AQR22" s="36"/>
      <c r="AQS22" s="36"/>
      <c r="AQT22" s="36"/>
      <c r="AQU22" s="36"/>
      <c r="AQV22" s="36"/>
      <c r="AQW22" s="36"/>
      <c r="AQX22" s="36"/>
      <c r="AQY22" s="36"/>
      <c r="AQZ22" s="36"/>
      <c r="ARA22" s="36"/>
      <c r="ARB22" s="36"/>
      <c r="ARC22" s="36"/>
      <c r="ARD22" s="36"/>
      <c r="ARE22" s="36"/>
      <c r="ARF22" s="36"/>
      <c r="ARG22" s="36"/>
      <c r="ARH22" s="36"/>
      <c r="ARI22" s="36"/>
      <c r="ARJ22" s="36"/>
      <c r="ARK22" s="36"/>
      <c r="ARL22" s="36"/>
      <c r="ARM22" s="36"/>
      <c r="ARN22" s="36"/>
      <c r="ARO22" s="36"/>
      <c r="ARP22" s="36"/>
      <c r="ARQ22" s="36"/>
      <c r="ARR22" s="36"/>
      <c r="ARS22" s="36"/>
      <c r="ART22" s="36"/>
      <c r="ARU22" s="36"/>
      <c r="ARV22" s="36"/>
      <c r="ARW22" s="36"/>
      <c r="ARX22" s="36"/>
      <c r="ARY22" s="36"/>
      <c r="ARZ22" s="36"/>
      <c r="ASA22" s="36"/>
      <c r="ASB22" s="36"/>
      <c r="ASC22" s="36"/>
      <c r="ASD22" s="36"/>
      <c r="ASE22" s="36"/>
      <c r="ASF22" s="36"/>
      <c r="ASG22" s="36"/>
      <c r="ASH22" s="36"/>
      <c r="ASI22" s="36"/>
      <c r="ASJ22" s="36"/>
      <c r="ASK22" s="36"/>
      <c r="ASL22" s="36"/>
      <c r="ASM22" s="36"/>
      <c r="ASN22" s="36"/>
      <c r="ASO22" s="36"/>
      <c r="ASP22" s="36"/>
      <c r="ASQ22" s="36"/>
      <c r="ASR22" s="36"/>
      <c r="ASS22" s="36"/>
      <c r="AST22" s="36"/>
      <c r="ASU22" s="36"/>
      <c r="ASV22" s="36"/>
      <c r="ASW22" s="36"/>
      <c r="ASX22" s="36"/>
      <c r="ASY22" s="36"/>
      <c r="ASZ22" s="36"/>
      <c r="ATA22" s="36"/>
      <c r="ATB22" s="36"/>
      <c r="ATC22" s="36"/>
      <c r="ATD22" s="36"/>
      <c r="ATE22" s="36"/>
      <c r="ATF22" s="36"/>
      <c r="ATG22" s="36"/>
      <c r="ATH22" s="36"/>
      <c r="ATI22" s="36"/>
      <c r="ATJ22" s="36"/>
      <c r="ATK22" s="36"/>
      <c r="ATL22" s="36"/>
      <c r="ATM22" s="36"/>
      <c r="ATN22" s="36"/>
      <c r="ATO22" s="36"/>
      <c r="ATP22" s="36"/>
      <c r="ATQ22" s="36"/>
      <c r="ATR22" s="36"/>
      <c r="ATS22" s="36"/>
      <c r="ATT22" s="36"/>
      <c r="ATU22" s="36"/>
      <c r="ATV22" s="36"/>
      <c r="ATW22" s="36"/>
      <c r="ATX22" s="36"/>
      <c r="ATY22" s="36"/>
      <c r="ATZ22" s="36"/>
      <c r="AUA22" s="36"/>
      <c r="AUB22" s="36"/>
      <c r="AUC22" s="36"/>
      <c r="AUD22" s="36"/>
      <c r="AUE22" s="36"/>
      <c r="AUF22" s="36"/>
      <c r="AUG22" s="36"/>
      <c r="AUH22" s="36"/>
      <c r="AUI22" s="36"/>
      <c r="AUJ22" s="36"/>
      <c r="AUK22" s="36"/>
      <c r="AUL22" s="36"/>
      <c r="AUM22" s="36"/>
      <c r="AUN22" s="36"/>
      <c r="AUO22" s="36"/>
      <c r="AUP22" s="36"/>
      <c r="AUQ22" s="36"/>
      <c r="AUR22" s="36"/>
      <c r="AUS22" s="36"/>
      <c r="AUT22" s="36"/>
      <c r="AUU22" s="36"/>
      <c r="AUV22" s="36"/>
      <c r="AUW22" s="36"/>
      <c r="AUX22" s="36"/>
      <c r="AUY22" s="36"/>
      <c r="AUZ22" s="36"/>
      <c r="AVA22" s="36"/>
      <c r="AVB22" s="36"/>
      <c r="AVC22" s="36"/>
      <c r="AVD22" s="36"/>
      <c r="AVE22" s="36"/>
      <c r="AVF22" s="36"/>
      <c r="AVG22" s="36"/>
      <c r="AVH22" s="36"/>
      <c r="AVI22" s="36"/>
      <c r="AVJ22" s="36"/>
      <c r="AVK22" s="36"/>
      <c r="AVL22" s="36"/>
      <c r="AVM22" s="36"/>
      <c r="AVN22" s="36"/>
      <c r="AVO22" s="36"/>
      <c r="AVP22" s="36"/>
      <c r="AVQ22" s="36"/>
      <c r="AVR22" s="36"/>
      <c r="AVS22" s="36"/>
      <c r="AVT22" s="36"/>
      <c r="AVU22" s="36"/>
      <c r="AVV22" s="36"/>
      <c r="AVW22" s="36"/>
      <c r="AVX22" s="36"/>
      <c r="AVY22" s="36"/>
      <c r="AVZ22" s="36"/>
      <c r="AWA22" s="36"/>
      <c r="AWB22" s="36"/>
      <c r="AWC22" s="36"/>
      <c r="AWD22" s="36"/>
      <c r="AWE22" s="36"/>
      <c r="AWF22" s="36"/>
      <c r="AWG22" s="36"/>
      <c r="AWH22" s="36"/>
      <c r="AWI22" s="36"/>
      <c r="AWJ22" s="36"/>
      <c r="AWK22" s="36"/>
      <c r="AWL22" s="36"/>
      <c r="AWM22" s="36"/>
      <c r="AWN22" s="36"/>
      <c r="AWO22" s="36"/>
      <c r="AWP22" s="36"/>
      <c r="AWQ22" s="36"/>
      <c r="AWR22" s="36"/>
      <c r="AWS22" s="36"/>
      <c r="AWT22" s="36"/>
      <c r="AWU22" s="36"/>
      <c r="AWV22" s="36"/>
      <c r="AWW22" s="36"/>
      <c r="AWX22" s="36"/>
      <c r="AWY22" s="36"/>
      <c r="AWZ22" s="36"/>
      <c r="AXA22" s="36"/>
      <c r="AXB22" s="36"/>
      <c r="AXC22" s="36"/>
      <c r="AXD22" s="36"/>
      <c r="AXE22" s="36"/>
      <c r="AXF22" s="36"/>
      <c r="AXG22" s="36"/>
      <c r="AXH22" s="36"/>
      <c r="AXI22" s="36"/>
      <c r="AXJ22" s="36"/>
      <c r="AXK22" s="36"/>
      <c r="AXL22" s="36"/>
      <c r="AXM22" s="36"/>
      <c r="AXN22" s="36"/>
      <c r="AXO22" s="36"/>
      <c r="AXP22" s="36"/>
      <c r="AXQ22" s="36"/>
      <c r="AXR22" s="36"/>
      <c r="AXS22" s="36"/>
      <c r="AXT22" s="36"/>
      <c r="AXU22" s="36"/>
      <c r="AXV22" s="36"/>
      <c r="AXW22" s="36"/>
      <c r="AXX22" s="36"/>
      <c r="AXY22" s="36"/>
      <c r="AXZ22" s="36"/>
      <c r="AYA22" s="36"/>
      <c r="AYB22" s="36"/>
      <c r="AYC22" s="36"/>
      <c r="AYD22" s="36"/>
      <c r="AYE22" s="36"/>
      <c r="AYF22" s="36"/>
      <c r="AYG22" s="36"/>
      <c r="AYH22" s="36"/>
      <c r="AYI22" s="36"/>
      <c r="AYJ22" s="36"/>
      <c r="AYK22" s="36"/>
      <c r="AYL22" s="36"/>
      <c r="AYM22" s="36"/>
      <c r="AYN22" s="36"/>
      <c r="AYO22" s="36"/>
      <c r="AYP22" s="36"/>
      <c r="AYQ22" s="36"/>
      <c r="AYR22" s="36"/>
      <c r="AYS22" s="36"/>
      <c r="AYT22" s="36"/>
      <c r="AYU22" s="36"/>
      <c r="AYV22" s="36"/>
      <c r="AYW22" s="36"/>
      <c r="AYX22" s="36"/>
      <c r="AYY22" s="36"/>
      <c r="AYZ22" s="36"/>
      <c r="AZA22" s="36"/>
      <c r="AZB22" s="36"/>
      <c r="AZC22" s="36"/>
      <c r="AZD22" s="36"/>
      <c r="AZE22" s="36"/>
      <c r="AZF22" s="36"/>
      <c r="AZG22" s="36"/>
      <c r="AZH22" s="36"/>
      <c r="AZI22" s="36"/>
      <c r="AZJ22" s="36"/>
      <c r="AZK22" s="36"/>
      <c r="AZL22" s="36"/>
      <c r="AZM22" s="36"/>
      <c r="AZN22" s="36"/>
      <c r="AZO22" s="36"/>
      <c r="AZP22" s="36"/>
      <c r="AZQ22" s="36"/>
      <c r="AZR22" s="36"/>
      <c r="AZS22" s="36"/>
      <c r="AZT22" s="36"/>
      <c r="AZU22" s="36"/>
      <c r="AZV22" s="36"/>
      <c r="AZW22" s="36"/>
      <c r="AZX22" s="36"/>
      <c r="AZY22" s="36"/>
      <c r="AZZ22" s="36"/>
      <c r="BAA22" s="36"/>
      <c r="BAB22" s="36"/>
      <c r="BAC22" s="36"/>
      <c r="BAD22" s="36"/>
      <c r="BAE22" s="36"/>
      <c r="BAF22" s="36"/>
      <c r="BAG22" s="36"/>
      <c r="BAH22" s="36"/>
      <c r="BAI22" s="36"/>
      <c r="BAJ22" s="36"/>
      <c r="BAK22" s="36"/>
      <c r="BAL22" s="36"/>
      <c r="BAM22" s="36"/>
      <c r="BAN22" s="36"/>
      <c r="BAO22" s="36"/>
      <c r="BAP22" s="36"/>
      <c r="BAQ22" s="36"/>
      <c r="BAR22" s="36"/>
      <c r="BAS22" s="36"/>
      <c r="BAT22" s="36"/>
      <c r="BAU22" s="36"/>
      <c r="BAV22" s="36"/>
      <c r="BAW22" s="36"/>
      <c r="BAX22" s="36"/>
      <c r="BAY22" s="36"/>
      <c r="BAZ22" s="36"/>
      <c r="BBA22" s="36"/>
      <c r="BBB22" s="36"/>
      <c r="BBC22" s="36"/>
      <c r="BBD22" s="36"/>
      <c r="BBE22" s="36"/>
      <c r="BBF22" s="36"/>
      <c r="BBG22" s="36"/>
      <c r="BBH22" s="36"/>
      <c r="BBI22" s="36"/>
      <c r="BBJ22" s="36"/>
      <c r="BBK22" s="36"/>
      <c r="BBL22" s="36"/>
      <c r="BBM22" s="36"/>
      <c r="BBN22" s="36"/>
      <c r="BBO22" s="36"/>
      <c r="BBP22" s="36"/>
      <c r="BBQ22" s="36"/>
      <c r="BBR22" s="36"/>
      <c r="BBS22" s="36"/>
      <c r="BBT22" s="36"/>
      <c r="BBU22" s="36"/>
      <c r="BBV22" s="36"/>
      <c r="BBW22" s="36"/>
      <c r="BBX22" s="36"/>
      <c r="BBY22" s="36"/>
      <c r="BBZ22" s="36"/>
      <c r="BCA22" s="36"/>
      <c r="BCB22" s="36"/>
      <c r="BCC22" s="36"/>
      <c r="BCD22" s="36"/>
      <c r="BCE22" s="36"/>
      <c r="BCF22" s="36"/>
      <c r="BCG22" s="36"/>
      <c r="BCH22" s="36"/>
      <c r="BCI22" s="36"/>
      <c r="BCJ22" s="36"/>
      <c r="BCK22" s="36"/>
      <c r="BCL22" s="36"/>
      <c r="BCM22" s="36"/>
      <c r="BCN22" s="36"/>
      <c r="BCO22" s="36"/>
      <c r="BCP22" s="36"/>
      <c r="BCQ22" s="36"/>
      <c r="BCR22" s="36"/>
      <c r="BCS22" s="36"/>
      <c r="BCT22" s="36"/>
      <c r="BCU22" s="36"/>
      <c r="BCV22" s="36"/>
      <c r="BCW22" s="36"/>
      <c r="BCX22" s="36"/>
      <c r="BCY22" s="36"/>
      <c r="BCZ22" s="36"/>
      <c r="BDA22" s="36"/>
      <c r="BDB22" s="36"/>
      <c r="BDC22" s="36"/>
      <c r="BDD22" s="36"/>
      <c r="BDE22" s="36"/>
      <c r="BDF22" s="36"/>
      <c r="BDG22" s="36"/>
      <c r="BDH22" s="36"/>
      <c r="BDI22" s="36"/>
      <c r="BDJ22" s="36"/>
      <c r="BDK22" s="36"/>
      <c r="BDL22" s="36"/>
      <c r="BDM22" s="36"/>
      <c r="BDN22" s="36"/>
      <c r="BDO22" s="36"/>
      <c r="BDP22" s="36"/>
      <c r="BDQ22" s="36"/>
      <c r="BDR22" s="36"/>
      <c r="BDS22" s="36"/>
      <c r="BDT22" s="36"/>
      <c r="BDU22" s="36"/>
      <c r="BDV22" s="36"/>
      <c r="BDW22" s="36"/>
      <c r="BDX22" s="36"/>
      <c r="BDY22" s="36"/>
      <c r="BDZ22" s="36"/>
      <c r="BEA22" s="36"/>
      <c r="BEB22" s="36"/>
      <c r="BEC22" s="36"/>
      <c r="BED22" s="36"/>
      <c r="BEE22" s="36"/>
      <c r="BEF22" s="36"/>
      <c r="BEG22" s="36"/>
      <c r="BEH22" s="36"/>
      <c r="BEI22" s="36"/>
      <c r="BEJ22" s="36"/>
      <c r="BEK22" s="36"/>
      <c r="BEL22" s="36"/>
      <c r="BEM22" s="36"/>
      <c r="BEN22" s="36"/>
      <c r="BEO22" s="36"/>
      <c r="BEP22" s="36"/>
      <c r="BEQ22" s="36"/>
      <c r="BER22" s="36"/>
      <c r="BES22" s="36"/>
      <c r="BET22" s="36"/>
      <c r="BEU22" s="36"/>
      <c r="BEV22" s="36"/>
      <c r="BEW22" s="36"/>
      <c r="BEX22" s="36"/>
      <c r="BEY22" s="36"/>
      <c r="BEZ22" s="36"/>
      <c r="BFA22" s="36"/>
      <c r="BFB22" s="36"/>
      <c r="BFC22" s="36"/>
      <c r="BFD22" s="36"/>
      <c r="BFE22" s="36"/>
      <c r="BFF22" s="36"/>
      <c r="BFG22" s="36"/>
      <c r="BFH22" s="36"/>
      <c r="BFI22" s="36"/>
      <c r="BFJ22" s="36"/>
      <c r="BFK22" s="36"/>
      <c r="BFL22" s="36"/>
      <c r="BFM22" s="36"/>
      <c r="BFN22" s="36"/>
      <c r="BFO22" s="36"/>
      <c r="BFP22" s="36"/>
      <c r="BFQ22" s="36"/>
      <c r="BFR22" s="36"/>
      <c r="BFS22" s="36"/>
      <c r="BFT22" s="36"/>
      <c r="BFU22" s="36"/>
      <c r="BFV22" s="36"/>
      <c r="BFW22" s="36"/>
      <c r="BFX22" s="36"/>
      <c r="BFY22" s="36"/>
      <c r="BFZ22" s="36"/>
      <c r="BGA22" s="36"/>
      <c r="BGB22" s="36"/>
      <c r="BGC22" s="36"/>
      <c r="BGD22" s="36"/>
      <c r="BGE22" s="36"/>
      <c r="BGF22" s="36"/>
      <c r="BGG22" s="36"/>
      <c r="BGH22" s="36"/>
      <c r="BGI22" s="36"/>
      <c r="BGJ22" s="36"/>
      <c r="BGK22" s="36"/>
      <c r="BGL22" s="36"/>
      <c r="BGM22" s="36"/>
      <c r="BGN22" s="36"/>
      <c r="BGO22" s="36"/>
      <c r="BGP22" s="36"/>
      <c r="BGQ22" s="36"/>
      <c r="BGR22" s="36"/>
      <c r="BGS22" s="36"/>
      <c r="BGT22" s="36"/>
      <c r="BGU22" s="36"/>
      <c r="BGV22" s="36"/>
      <c r="BGW22" s="36"/>
      <c r="BGX22" s="36"/>
      <c r="BGY22" s="36"/>
      <c r="BGZ22" s="36"/>
      <c r="BHA22" s="36"/>
      <c r="BHB22" s="36"/>
      <c r="BHC22" s="36"/>
      <c r="BHD22" s="36"/>
      <c r="BHE22" s="36"/>
      <c r="BHF22" s="36"/>
      <c r="BHG22" s="36"/>
      <c r="BHH22" s="36"/>
      <c r="BHI22" s="36"/>
      <c r="BHJ22" s="36"/>
      <c r="BHK22" s="36"/>
      <c r="BHL22" s="36"/>
      <c r="BHM22" s="36"/>
      <c r="BHN22" s="36"/>
      <c r="BHO22" s="36"/>
      <c r="BHP22" s="36"/>
      <c r="BHQ22" s="36"/>
      <c r="BHR22" s="36"/>
      <c r="BHS22" s="36"/>
      <c r="BHT22" s="36"/>
      <c r="BHU22" s="36"/>
      <c r="BHV22" s="36"/>
      <c r="BHW22" s="36"/>
      <c r="BHX22" s="36"/>
      <c r="BHY22" s="36"/>
      <c r="BHZ22" s="36"/>
      <c r="BIA22" s="36"/>
      <c r="BIB22" s="36"/>
      <c r="BIC22" s="36"/>
      <c r="BID22" s="36"/>
      <c r="BIE22" s="36"/>
      <c r="BIF22" s="36"/>
      <c r="BIG22" s="36"/>
      <c r="BIH22" s="36"/>
      <c r="BII22" s="36"/>
      <c r="BIJ22" s="36"/>
      <c r="BIK22" s="36"/>
      <c r="BIL22" s="36"/>
      <c r="BIM22" s="36"/>
      <c r="BIN22" s="36"/>
      <c r="BIO22" s="36"/>
      <c r="BIP22" s="36"/>
      <c r="BIQ22" s="36"/>
      <c r="BIR22" s="36"/>
      <c r="BIS22" s="36"/>
      <c r="BIT22" s="36"/>
      <c r="BIU22" s="36"/>
      <c r="BIV22" s="36"/>
      <c r="BIW22" s="36"/>
      <c r="BIX22" s="36"/>
      <c r="BIY22" s="36"/>
      <c r="BIZ22" s="36"/>
      <c r="BJA22" s="36"/>
      <c r="BJB22" s="36"/>
      <c r="BJC22" s="36"/>
      <c r="BJD22" s="36"/>
      <c r="BJE22" s="36"/>
      <c r="BJF22" s="36"/>
      <c r="BJG22" s="36"/>
      <c r="BJH22" s="36"/>
      <c r="BJI22" s="36"/>
      <c r="BJJ22" s="36"/>
      <c r="BJK22" s="36"/>
      <c r="BJL22" s="36"/>
      <c r="BJM22" s="36"/>
      <c r="BJN22" s="36"/>
      <c r="BJO22" s="36"/>
      <c r="BJP22" s="36"/>
      <c r="BJQ22" s="36"/>
      <c r="BJR22" s="36"/>
      <c r="BJS22" s="36"/>
      <c r="BJT22" s="36"/>
      <c r="BJU22" s="36"/>
      <c r="BJV22" s="36"/>
      <c r="BJW22" s="36"/>
      <c r="BJX22" s="36"/>
      <c r="BJY22" s="36"/>
      <c r="BJZ22" s="36"/>
      <c r="BKA22" s="36"/>
      <c r="BKB22" s="36"/>
      <c r="BKC22" s="36"/>
      <c r="BKD22" s="36"/>
      <c r="BKE22" s="36"/>
      <c r="BKF22" s="36"/>
      <c r="BKG22" s="36"/>
      <c r="BKH22" s="36"/>
      <c r="BKI22" s="36"/>
      <c r="BKJ22" s="36"/>
      <c r="BKK22" s="36"/>
      <c r="BKL22" s="36"/>
      <c r="BKM22" s="36"/>
      <c r="BKN22" s="36"/>
      <c r="BKO22" s="36"/>
      <c r="BKP22" s="36"/>
      <c r="BKQ22" s="36"/>
      <c r="BKR22" s="36"/>
      <c r="BKS22" s="36"/>
      <c r="BKT22" s="36"/>
      <c r="BKU22" s="36"/>
      <c r="BKV22" s="36"/>
      <c r="BKW22" s="36"/>
      <c r="BKX22" s="36"/>
      <c r="BKY22" s="36"/>
      <c r="BKZ22" s="36"/>
      <c r="BLA22" s="36"/>
      <c r="BLB22" s="36"/>
      <c r="BLC22" s="36"/>
      <c r="BLD22" s="36"/>
      <c r="BLE22" s="36"/>
      <c r="BLF22" s="36"/>
      <c r="BLG22" s="36"/>
      <c r="BLH22" s="36"/>
      <c r="BLI22" s="36"/>
      <c r="BLJ22" s="36"/>
      <c r="BLK22" s="36"/>
      <c r="BLL22" s="36"/>
      <c r="BLM22" s="36"/>
      <c r="BLN22" s="36"/>
      <c r="BLO22" s="36"/>
      <c r="BLP22" s="36"/>
      <c r="BLQ22" s="36"/>
      <c r="BLR22" s="36"/>
      <c r="BLS22" s="36"/>
      <c r="BLT22" s="36"/>
      <c r="BLU22" s="36"/>
      <c r="BLV22" s="36"/>
      <c r="BLW22" s="36"/>
      <c r="BLX22" s="36"/>
      <c r="BLY22" s="36"/>
      <c r="BLZ22" s="36"/>
      <c r="BMA22" s="36"/>
      <c r="BMB22" s="36"/>
      <c r="BMC22" s="36"/>
      <c r="BMD22" s="36"/>
      <c r="BME22" s="36"/>
      <c r="BMF22" s="36"/>
      <c r="BMG22" s="36"/>
      <c r="BMH22" s="36"/>
      <c r="BMI22" s="36"/>
      <c r="BMJ22" s="36"/>
      <c r="BMK22" s="36"/>
      <c r="BML22" s="36"/>
      <c r="BMM22" s="36"/>
      <c r="BMN22" s="36"/>
      <c r="BMO22" s="36"/>
      <c r="BMP22" s="36"/>
      <c r="BMQ22" s="36"/>
      <c r="BMR22" s="36"/>
      <c r="BMS22" s="36"/>
      <c r="BMT22" s="36"/>
      <c r="BMU22" s="36"/>
      <c r="BMV22" s="36"/>
      <c r="BMW22" s="36"/>
      <c r="BMX22" s="36"/>
      <c r="BMY22" s="36"/>
      <c r="BMZ22" s="36"/>
      <c r="BNA22" s="36"/>
      <c r="BNB22" s="36"/>
      <c r="BNC22" s="36"/>
      <c r="BND22" s="36"/>
      <c r="BNE22" s="36"/>
      <c r="BNF22" s="36"/>
      <c r="BNG22" s="36"/>
      <c r="BNH22" s="36"/>
      <c r="BNI22" s="36"/>
      <c r="BNJ22" s="36"/>
      <c r="BNK22" s="36"/>
      <c r="BNL22" s="36"/>
      <c r="BNM22" s="36"/>
      <c r="BNN22" s="36"/>
      <c r="BNO22" s="36"/>
      <c r="BNP22" s="36"/>
      <c r="BNQ22" s="36"/>
      <c r="BNR22" s="36"/>
      <c r="BNS22" s="36"/>
      <c r="BNT22" s="36"/>
      <c r="BNU22" s="36"/>
      <c r="BNV22" s="36"/>
      <c r="BNW22" s="36"/>
      <c r="BNX22" s="36"/>
      <c r="BNY22" s="36"/>
      <c r="BNZ22" s="36"/>
      <c r="BOA22" s="36"/>
      <c r="BOB22" s="36"/>
      <c r="BOC22" s="36"/>
      <c r="BOD22" s="36"/>
      <c r="BOE22" s="36"/>
      <c r="BOF22" s="36"/>
      <c r="BOG22" s="36"/>
      <c r="BOH22" s="36"/>
      <c r="BOI22" s="36"/>
      <c r="BOJ22" s="36"/>
      <c r="BOK22" s="36"/>
      <c r="BOL22" s="36"/>
      <c r="BOM22" s="36"/>
      <c r="BON22" s="36"/>
      <c r="BOO22" s="36"/>
      <c r="BOP22" s="36"/>
      <c r="BOQ22" s="36"/>
      <c r="BOR22" s="36"/>
      <c r="BOS22" s="36"/>
      <c r="BOT22" s="36"/>
      <c r="BOU22" s="36"/>
      <c r="BOV22" s="36"/>
      <c r="BOW22" s="36"/>
      <c r="BOX22" s="36"/>
      <c r="BOY22" s="36"/>
      <c r="BOZ22" s="36"/>
      <c r="BPA22" s="36"/>
      <c r="BPB22" s="36"/>
      <c r="BPC22" s="36"/>
      <c r="BPD22" s="36"/>
      <c r="BPE22" s="36"/>
      <c r="BPF22" s="36"/>
      <c r="BPG22" s="36"/>
      <c r="BPH22" s="36"/>
      <c r="BPI22" s="36"/>
      <c r="BPJ22" s="36"/>
      <c r="BPK22" s="36"/>
      <c r="BPL22" s="36"/>
      <c r="BPM22" s="36"/>
      <c r="BPN22" s="36"/>
      <c r="BPO22" s="36"/>
      <c r="BPP22" s="36"/>
      <c r="BPQ22" s="36"/>
      <c r="BPR22" s="36"/>
      <c r="BPS22" s="36"/>
      <c r="BPT22" s="36"/>
      <c r="BPU22" s="36"/>
      <c r="BPV22" s="36"/>
      <c r="BPW22" s="36"/>
      <c r="BPX22" s="36"/>
      <c r="BPY22" s="36"/>
      <c r="BPZ22" s="36"/>
      <c r="BQA22" s="36"/>
      <c r="BQB22" s="36"/>
      <c r="BQC22" s="36"/>
      <c r="BQD22" s="36"/>
      <c r="BQE22" s="36"/>
      <c r="BQF22" s="36"/>
      <c r="BQG22" s="36"/>
      <c r="BQH22" s="36"/>
      <c r="BQI22" s="36"/>
      <c r="BQJ22" s="36"/>
      <c r="BQK22" s="36"/>
      <c r="BQL22" s="36"/>
      <c r="BQM22" s="36"/>
      <c r="BQN22" s="36"/>
      <c r="BQO22" s="36"/>
      <c r="BQP22" s="36"/>
      <c r="BQQ22" s="36"/>
      <c r="BQR22" s="36"/>
      <c r="BQS22" s="36"/>
      <c r="BQT22" s="36"/>
      <c r="BQU22" s="36"/>
      <c r="BQV22" s="36"/>
      <c r="BQW22" s="36"/>
      <c r="BQX22" s="36"/>
      <c r="BQY22" s="36"/>
      <c r="BQZ22" s="36"/>
      <c r="BRA22" s="36"/>
      <c r="BRB22" s="36"/>
      <c r="BRC22" s="36"/>
      <c r="BRD22" s="36"/>
      <c r="BRE22" s="36"/>
      <c r="BRF22" s="36"/>
      <c r="BRG22" s="36"/>
      <c r="BRH22" s="36"/>
      <c r="BRI22" s="36"/>
      <c r="BRJ22" s="36"/>
      <c r="BRK22" s="36"/>
      <c r="BRL22" s="36"/>
      <c r="BRM22" s="36"/>
      <c r="BRN22" s="36"/>
      <c r="BRO22" s="36"/>
      <c r="BRP22" s="36"/>
      <c r="BRQ22" s="36"/>
      <c r="BRR22" s="36"/>
      <c r="BRS22" s="36"/>
      <c r="BRT22" s="36"/>
      <c r="BRU22" s="36"/>
      <c r="BRV22" s="36"/>
      <c r="BRW22" s="36"/>
      <c r="BRX22" s="36"/>
      <c r="BRY22" s="36"/>
      <c r="BRZ22" s="36"/>
      <c r="BSA22" s="36"/>
      <c r="BSB22" s="36"/>
      <c r="BSC22" s="36"/>
      <c r="BSD22" s="36"/>
      <c r="BSE22" s="36"/>
      <c r="BSF22" s="36"/>
      <c r="BSG22" s="36"/>
      <c r="BSH22" s="36"/>
      <c r="BSI22" s="36"/>
      <c r="BSJ22" s="36"/>
      <c r="BSK22" s="36"/>
      <c r="BSL22" s="36"/>
      <c r="BSM22" s="36"/>
      <c r="BSN22" s="36"/>
      <c r="BSO22" s="36"/>
      <c r="BSP22" s="36"/>
      <c r="BSQ22" s="36"/>
      <c r="BSR22" s="36"/>
      <c r="BSS22" s="36"/>
      <c r="BST22" s="36"/>
      <c r="BSU22" s="36"/>
      <c r="BSV22" s="36"/>
      <c r="BSW22" s="36"/>
      <c r="BSX22" s="36"/>
      <c r="BSY22" s="36"/>
      <c r="BSZ22" s="36"/>
      <c r="BTA22" s="36"/>
      <c r="BTB22" s="36"/>
      <c r="BTC22" s="36"/>
      <c r="BTD22" s="36"/>
      <c r="BTE22" s="36"/>
      <c r="BTF22" s="36"/>
      <c r="BTG22" s="36"/>
      <c r="BTH22" s="36"/>
      <c r="BTI22" s="36"/>
      <c r="BTJ22" s="36"/>
      <c r="BTK22" s="36"/>
      <c r="BTL22" s="36"/>
      <c r="BTM22" s="36"/>
      <c r="BTN22" s="36"/>
      <c r="BTO22" s="36"/>
      <c r="BTP22" s="36"/>
      <c r="BTQ22" s="36"/>
      <c r="BTR22" s="36"/>
      <c r="BTS22" s="36"/>
      <c r="BTT22" s="36"/>
      <c r="BTU22" s="36"/>
      <c r="BTV22" s="36"/>
      <c r="BTW22" s="36"/>
      <c r="BTX22" s="36"/>
      <c r="BTY22" s="36"/>
      <c r="BTZ22" s="36"/>
      <c r="BUA22" s="36"/>
      <c r="BUB22" s="36"/>
      <c r="BUC22" s="36"/>
      <c r="BUD22" s="36"/>
      <c r="BUE22" s="36"/>
      <c r="BUF22" s="36"/>
      <c r="BUG22" s="36"/>
      <c r="BUH22" s="36"/>
      <c r="BUI22" s="36"/>
      <c r="BUJ22" s="36"/>
      <c r="BUK22" s="36"/>
      <c r="BUL22" s="36"/>
      <c r="BUM22" s="36"/>
      <c r="BUN22" s="36"/>
      <c r="BUO22" s="36"/>
      <c r="BUP22" s="36"/>
      <c r="BUQ22" s="36"/>
      <c r="BUR22" s="36"/>
      <c r="BUS22" s="36"/>
      <c r="BUT22" s="36"/>
      <c r="BUU22" s="36"/>
      <c r="BUV22" s="36"/>
      <c r="BUW22" s="36"/>
      <c r="BUX22" s="36"/>
      <c r="BUY22" s="36"/>
      <c r="BUZ22" s="36"/>
      <c r="BVA22" s="36"/>
      <c r="BVB22" s="36"/>
      <c r="BVC22" s="36"/>
      <c r="BVD22" s="36"/>
      <c r="BVE22" s="36"/>
      <c r="BVF22" s="36"/>
      <c r="BVG22" s="36"/>
      <c r="BVH22" s="36"/>
      <c r="BVI22" s="36"/>
      <c r="BVJ22" s="36"/>
      <c r="BVK22" s="36"/>
      <c r="BVL22" s="36"/>
      <c r="BVM22" s="36"/>
      <c r="BVN22" s="36"/>
      <c r="BVO22" s="36"/>
      <c r="BVP22" s="36"/>
      <c r="BVQ22" s="36"/>
      <c r="BVR22" s="36"/>
      <c r="BVS22" s="36"/>
      <c r="BVT22" s="36"/>
      <c r="BVU22" s="36"/>
      <c r="BVV22" s="36"/>
      <c r="BVW22" s="36"/>
      <c r="BVX22" s="36"/>
      <c r="BVY22" s="36"/>
      <c r="BVZ22" s="36"/>
      <c r="BWA22" s="36"/>
      <c r="BWB22" s="36"/>
      <c r="BWC22" s="36"/>
      <c r="BWD22" s="36"/>
      <c r="BWE22" s="36"/>
      <c r="BWF22" s="36"/>
      <c r="BWG22" s="36"/>
      <c r="BWH22" s="36"/>
      <c r="BWI22" s="36"/>
      <c r="BWJ22" s="36"/>
      <c r="BWK22" s="36"/>
      <c r="BWL22" s="36"/>
      <c r="BWM22" s="36"/>
      <c r="BWN22" s="36"/>
      <c r="BWO22" s="36"/>
      <c r="BWP22" s="36"/>
      <c r="BWQ22" s="36"/>
      <c r="BWR22" s="36"/>
      <c r="BWS22" s="36"/>
      <c r="BWT22" s="36"/>
      <c r="BWU22" s="36"/>
      <c r="BWV22" s="36"/>
      <c r="BWW22" s="36"/>
      <c r="BWX22" s="36"/>
      <c r="BWY22" s="36"/>
      <c r="BWZ22" s="36"/>
      <c r="BXA22" s="36"/>
      <c r="BXB22" s="36"/>
      <c r="BXC22" s="36"/>
      <c r="BXD22" s="36"/>
      <c r="BXE22" s="36"/>
      <c r="BXF22" s="36"/>
      <c r="BXG22" s="36"/>
      <c r="BXH22" s="36"/>
      <c r="BXI22" s="36"/>
      <c r="BXJ22" s="36"/>
      <c r="BXK22" s="36"/>
      <c r="BXL22" s="36"/>
      <c r="BXM22" s="36"/>
      <c r="BXN22" s="36"/>
      <c r="BXO22" s="36"/>
      <c r="BXP22" s="36"/>
      <c r="BXQ22" s="36"/>
      <c r="BXR22" s="36"/>
      <c r="BXS22" s="36"/>
      <c r="BXT22" s="36"/>
      <c r="BXU22" s="36"/>
      <c r="BXV22" s="36"/>
      <c r="BXW22" s="36"/>
      <c r="BXX22" s="36"/>
      <c r="BXY22" s="36"/>
      <c r="BXZ22" s="36"/>
      <c r="BYA22" s="36"/>
      <c r="BYB22" s="36"/>
      <c r="BYC22" s="36"/>
      <c r="BYD22" s="36"/>
      <c r="BYE22" s="36"/>
      <c r="BYF22" s="36"/>
      <c r="BYG22" s="36"/>
      <c r="BYH22" s="36"/>
      <c r="BYI22" s="36"/>
      <c r="BYJ22" s="36"/>
      <c r="BYK22" s="36"/>
      <c r="BYL22" s="36"/>
      <c r="BYM22" s="36"/>
      <c r="BYN22" s="36"/>
      <c r="BYO22" s="36"/>
      <c r="BYP22" s="36"/>
      <c r="BYQ22" s="36"/>
      <c r="BYR22" s="36"/>
      <c r="BYS22" s="36"/>
      <c r="BYT22" s="36"/>
      <c r="BYU22" s="36"/>
      <c r="BYV22" s="36"/>
      <c r="BYW22" s="36"/>
      <c r="BYX22" s="36"/>
      <c r="BYY22" s="36"/>
      <c r="BYZ22" s="36"/>
      <c r="BZA22" s="36"/>
      <c r="BZB22" s="36"/>
      <c r="BZC22" s="36"/>
      <c r="BZD22" s="36"/>
      <c r="BZE22" s="36"/>
      <c r="BZF22" s="36"/>
      <c r="BZG22" s="36"/>
      <c r="BZH22" s="36"/>
      <c r="BZI22" s="36"/>
      <c r="BZJ22" s="36"/>
      <c r="BZK22" s="36"/>
      <c r="BZL22" s="36"/>
      <c r="BZM22" s="36"/>
      <c r="BZN22" s="36"/>
      <c r="BZO22" s="36"/>
      <c r="BZP22" s="36"/>
      <c r="BZQ22" s="36"/>
      <c r="BZR22" s="36"/>
      <c r="BZS22" s="36"/>
      <c r="BZT22" s="36"/>
      <c r="BZU22" s="36"/>
      <c r="BZV22" s="36"/>
      <c r="BZW22" s="36"/>
      <c r="BZX22" s="36"/>
      <c r="BZY22" s="36"/>
      <c r="BZZ22" s="36"/>
      <c r="CAA22" s="36"/>
      <c r="CAB22" s="36"/>
      <c r="CAC22" s="36"/>
      <c r="CAD22" s="36"/>
      <c r="CAE22" s="36"/>
      <c r="CAF22" s="36"/>
      <c r="CAG22" s="36"/>
      <c r="CAH22" s="36"/>
      <c r="CAI22" s="36"/>
      <c r="CAJ22" s="36"/>
      <c r="CAK22" s="36"/>
      <c r="CAL22" s="36"/>
      <c r="CAM22" s="36"/>
      <c r="CAN22" s="36"/>
      <c r="CAO22" s="36"/>
      <c r="CAP22" s="36"/>
      <c r="CAQ22" s="36"/>
      <c r="CAR22" s="36"/>
      <c r="CAS22" s="36"/>
      <c r="CAT22" s="36"/>
      <c r="CAU22" s="36"/>
      <c r="CAV22" s="36"/>
      <c r="CAW22" s="36"/>
      <c r="CAX22" s="36"/>
      <c r="CAY22" s="36"/>
      <c r="CAZ22" s="36"/>
      <c r="CBA22" s="36"/>
      <c r="CBB22" s="36"/>
      <c r="CBC22" s="36"/>
      <c r="CBD22" s="36"/>
      <c r="CBE22" s="36"/>
      <c r="CBF22" s="36"/>
      <c r="CBG22" s="36"/>
      <c r="CBH22" s="36"/>
      <c r="CBI22" s="36"/>
      <c r="CBJ22" s="36"/>
      <c r="CBK22" s="36"/>
      <c r="CBL22" s="36"/>
      <c r="CBM22" s="36"/>
      <c r="CBN22" s="36"/>
      <c r="CBO22" s="36"/>
      <c r="CBP22" s="36"/>
      <c r="CBQ22" s="36"/>
      <c r="CBR22" s="36"/>
      <c r="CBS22" s="36"/>
      <c r="CBT22" s="36"/>
      <c r="CBU22" s="36"/>
      <c r="CBV22" s="36"/>
      <c r="CBW22" s="36"/>
      <c r="CBX22" s="36"/>
      <c r="CBY22" s="36"/>
      <c r="CBZ22" s="36"/>
      <c r="CCA22" s="36"/>
      <c r="CCB22" s="36"/>
      <c r="CCC22" s="36"/>
      <c r="CCD22" s="36"/>
      <c r="CCE22" s="36"/>
      <c r="CCF22" s="36"/>
      <c r="CCG22" s="36"/>
      <c r="CCH22" s="36"/>
      <c r="CCI22" s="36"/>
      <c r="CCJ22" s="36"/>
      <c r="CCK22" s="36"/>
      <c r="CCL22" s="36"/>
      <c r="CCM22" s="36"/>
      <c r="CCN22" s="36"/>
      <c r="CCO22" s="36"/>
      <c r="CCP22" s="36"/>
      <c r="CCQ22" s="36"/>
      <c r="CCR22" s="36"/>
      <c r="CCS22" s="36"/>
      <c r="CCT22" s="36"/>
      <c r="CCU22" s="36"/>
      <c r="CCV22" s="36"/>
      <c r="CCW22" s="36"/>
      <c r="CCX22" s="36"/>
      <c r="CCY22" s="36"/>
      <c r="CCZ22" s="36"/>
      <c r="CDA22" s="36"/>
      <c r="CDB22" s="36"/>
      <c r="CDC22" s="36"/>
      <c r="CDD22" s="36"/>
      <c r="CDE22" s="36"/>
      <c r="CDF22" s="36"/>
      <c r="CDG22" s="36"/>
      <c r="CDH22" s="36"/>
      <c r="CDI22" s="36"/>
      <c r="CDJ22" s="36"/>
      <c r="CDK22" s="36"/>
      <c r="CDL22" s="36"/>
      <c r="CDM22" s="36"/>
      <c r="CDN22" s="36"/>
      <c r="CDO22" s="36"/>
      <c r="CDP22" s="36"/>
      <c r="CDQ22" s="36"/>
      <c r="CDR22" s="36"/>
      <c r="CDS22" s="36"/>
      <c r="CDT22" s="36"/>
      <c r="CDU22" s="36"/>
      <c r="CDV22" s="36"/>
      <c r="CDW22" s="36"/>
      <c r="CDX22" s="36"/>
      <c r="CDY22" s="36"/>
      <c r="CDZ22" s="36"/>
      <c r="CEA22" s="36"/>
      <c r="CEB22" s="36"/>
      <c r="CEC22" s="36"/>
      <c r="CED22" s="36"/>
      <c r="CEE22" s="36"/>
      <c r="CEF22" s="36"/>
      <c r="CEG22" s="36"/>
      <c r="CEH22" s="36"/>
      <c r="CEI22" s="36"/>
      <c r="CEJ22" s="36"/>
      <c r="CEK22" s="36"/>
      <c r="CEL22" s="36"/>
      <c r="CEM22" s="36"/>
      <c r="CEN22" s="36"/>
      <c r="CEO22" s="36"/>
      <c r="CEP22" s="36"/>
      <c r="CEQ22" s="36"/>
      <c r="CER22" s="36"/>
      <c r="CES22" s="36"/>
      <c r="CET22" s="36"/>
      <c r="CEU22" s="36"/>
      <c r="CEV22" s="36"/>
      <c r="CEW22" s="36"/>
      <c r="CEX22" s="36"/>
      <c r="CEY22" s="36"/>
      <c r="CEZ22" s="36"/>
      <c r="CFA22" s="36"/>
      <c r="CFB22" s="36"/>
      <c r="CFC22" s="36"/>
      <c r="CFD22" s="36"/>
      <c r="CFE22" s="36"/>
      <c r="CFF22" s="36"/>
      <c r="CFG22" s="36"/>
      <c r="CFH22" s="36"/>
      <c r="CFI22" s="36"/>
      <c r="CFJ22" s="36"/>
      <c r="CFK22" s="36"/>
      <c r="CFL22" s="36"/>
      <c r="CFM22" s="36"/>
      <c r="CFN22" s="36"/>
      <c r="CFO22" s="36"/>
      <c r="CFP22" s="36"/>
      <c r="CFQ22" s="36"/>
      <c r="CFR22" s="36"/>
      <c r="CFS22" s="36"/>
      <c r="CFT22" s="36"/>
      <c r="CFU22" s="36"/>
      <c r="CFV22" s="36"/>
      <c r="CFW22" s="36"/>
      <c r="CFX22" s="36"/>
      <c r="CFY22" s="36"/>
      <c r="CFZ22" s="36"/>
      <c r="CGA22" s="36"/>
      <c r="CGB22" s="36"/>
      <c r="CGC22" s="36"/>
      <c r="CGD22" s="36"/>
      <c r="CGE22" s="36"/>
      <c r="CGF22" s="36"/>
      <c r="CGG22" s="36"/>
      <c r="CGH22" s="36"/>
      <c r="CGI22" s="36"/>
      <c r="CGJ22" s="36"/>
      <c r="CGK22" s="36"/>
      <c r="CGL22" s="36"/>
      <c r="CGM22" s="36"/>
      <c r="CGN22" s="36"/>
      <c r="CGO22" s="36"/>
      <c r="CGP22" s="36"/>
      <c r="CGQ22" s="36"/>
      <c r="CGR22" s="36"/>
      <c r="CGS22" s="36"/>
      <c r="CGT22" s="36"/>
      <c r="CGU22" s="36"/>
      <c r="CGV22" s="36"/>
      <c r="CGW22" s="36"/>
      <c r="CGX22" s="36"/>
      <c r="CGY22" s="36"/>
      <c r="CGZ22" s="36"/>
      <c r="CHA22" s="36"/>
      <c r="CHB22" s="36"/>
      <c r="CHC22" s="36"/>
      <c r="CHD22" s="36"/>
      <c r="CHE22" s="36"/>
      <c r="CHF22" s="36"/>
      <c r="CHG22" s="36"/>
      <c r="CHH22" s="36"/>
      <c r="CHI22" s="36"/>
      <c r="CHJ22" s="36"/>
      <c r="CHK22" s="36"/>
      <c r="CHL22" s="36"/>
      <c r="CHM22" s="36"/>
      <c r="CHN22" s="36"/>
      <c r="CHO22" s="36"/>
      <c r="CHP22" s="36"/>
      <c r="CHQ22" s="36"/>
      <c r="CHR22" s="36"/>
      <c r="CHS22" s="36"/>
      <c r="CHT22" s="36"/>
      <c r="CHU22" s="36"/>
      <c r="CHV22" s="36"/>
      <c r="CHW22" s="36"/>
      <c r="CHX22" s="36"/>
      <c r="CHY22" s="36"/>
      <c r="CHZ22" s="36"/>
      <c r="CIA22" s="36"/>
      <c r="CIB22" s="36"/>
      <c r="CIC22" s="36"/>
      <c r="CID22" s="36"/>
      <c r="CIE22" s="36"/>
      <c r="CIF22" s="36"/>
      <c r="CIG22" s="36"/>
      <c r="CIH22" s="36"/>
      <c r="CII22" s="36"/>
      <c r="CIJ22" s="36"/>
      <c r="CIK22" s="36"/>
      <c r="CIL22" s="36"/>
      <c r="CIM22" s="36"/>
      <c r="CIN22" s="36"/>
      <c r="CIO22" s="36"/>
      <c r="CIP22" s="36"/>
      <c r="CIQ22" s="36"/>
      <c r="CIR22" s="36"/>
      <c r="CIS22" s="36"/>
      <c r="CIT22" s="36"/>
      <c r="CIU22" s="36"/>
      <c r="CIV22" s="36"/>
      <c r="CIW22" s="36"/>
      <c r="CIX22" s="36"/>
      <c r="CIY22" s="36"/>
      <c r="CIZ22" s="36"/>
      <c r="CJA22" s="36"/>
      <c r="CJB22" s="36"/>
      <c r="CJC22" s="36"/>
      <c r="CJD22" s="36"/>
      <c r="CJE22" s="36"/>
      <c r="CJF22" s="36"/>
      <c r="CJG22" s="36"/>
      <c r="CJH22" s="36"/>
      <c r="CJI22" s="36"/>
      <c r="CJJ22" s="36"/>
      <c r="CJK22" s="36"/>
      <c r="CJL22" s="36"/>
      <c r="CJM22" s="36"/>
      <c r="CJN22" s="36"/>
      <c r="CJO22" s="36"/>
      <c r="CJP22" s="36"/>
      <c r="CJQ22" s="36"/>
      <c r="CJR22" s="36"/>
      <c r="CJS22" s="36"/>
      <c r="CJT22" s="36"/>
      <c r="CJU22" s="36"/>
      <c r="CJV22" s="36"/>
      <c r="CJW22" s="36"/>
      <c r="CJX22" s="36"/>
      <c r="CJY22" s="36"/>
      <c r="CJZ22" s="36"/>
      <c r="CKA22" s="36"/>
      <c r="CKB22" s="36"/>
      <c r="CKC22" s="36"/>
      <c r="CKD22" s="36"/>
      <c r="CKE22" s="36"/>
      <c r="CKF22" s="36"/>
      <c r="CKG22" s="36"/>
      <c r="CKH22" s="36"/>
      <c r="CKI22" s="36"/>
      <c r="CKJ22" s="36"/>
      <c r="CKK22" s="36"/>
      <c r="CKL22" s="36"/>
      <c r="CKM22" s="36"/>
      <c r="CKN22" s="36"/>
      <c r="CKO22" s="36"/>
      <c r="CKP22" s="36"/>
      <c r="CKQ22" s="36"/>
      <c r="CKR22" s="36"/>
      <c r="CKS22" s="36"/>
      <c r="CKT22" s="36"/>
      <c r="CKU22" s="36"/>
      <c r="CKV22" s="36"/>
      <c r="CKW22" s="36"/>
      <c r="CKX22" s="36"/>
      <c r="CKY22" s="36"/>
      <c r="CKZ22" s="36"/>
      <c r="CLA22" s="36"/>
      <c r="CLB22" s="36"/>
      <c r="CLC22" s="36"/>
      <c r="CLD22" s="36"/>
      <c r="CLE22" s="36"/>
      <c r="CLF22" s="36"/>
      <c r="CLG22" s="36"/>
      <c r="CLH22" s="36"/>
      <c r="CLI22" s="36"/>
      <c r="CLJ22" s="36"/>
      <c r="CLK22" s="36"/>
      <c r="CLL22" s="36"/>
      <c r="CLM22" s="36"/>
      <c r="CLN22" s="36"/>
      <c r="CLO22" s="36"/>
      <c r="CLP22" s="36"/>
      <c r="CLQ22" s="36"/>
      <c r="CLR22" s="36"/>
      <c r="CLS22" s="36"/>
      <c r="CLT22" s="36"/>
      <c r="CLU22" s="36"/>
      <c r="CLV22" s="36"/>
      <c r="CLW22" s="36"/>
      <c r="CLX22" s="36"/>
      <c r="CLY22" s="36"/>
      <c r="CLZ22" s="36"/>
      <c r="CMA22" s="36"/>
      <c r="CMB22" s="36"/>
      <c r="CMC22" s="36"/>
      <c r="CMD22" s="36"/>
      <c r="CME22" s="36"/>
      <c r="CMF22" s="36"/>
      <c r="CMG22" s="36"/>
      <c r="CMH22" s="36"/>
      <c r="CMI22" s="36"/>
      <c r="CMJ22" s="36"/>
      <c r="CMK22" s="36"/>
      <c r="CML22" s="36"/>
      <c r="CMM22" s="36"/>
      <c r="CMN22" s="36"/>
      <c r="CMO22" s="36"/>
      <c r="CMP22" s="36"/>
      <c r="CMQ22" s="36"/>
      <c r="CMR22" s="36"/>
      <c r="CMS22" s="36"/>
      <c r="CMT22" s="36"/>
      <c r="CMU22" s="36"/>
      <c r="CMV22" s="36"/>
      <c r="CMW22" s="36"/>
      <c r="CMX22" s="36"/>
      <c r="CMY22" s="36"/>
      <c r="CMZ22" s="36"/>
      <c r="CNA22" s="36"/>
      <c r="CNB22" s="36"/>
      <c r="CNC22" s="36"/>
      <c r="CND22" s="36"/>
      <c r="CNE22" s="36"/>
      <c r="CNF22" s="36"/>
      <c r="CNG22" s="36"/>
      <c r="CNH22" s="36"/>
      <c r="CNI22" s="36"/>
      <c r="CNJ22" s="36"/>
      <c r="CNK22" s="36"/>
      <c r="CNL22" s="36"/>
      <c r="CNM22" s="36"/>
      <c r="CNN22" s="36"/>
      <c r="CNO22" s="36"/>
      <c r="CNP22" s="36"/>
      <c r="CNQ22" s="36"/>
      <c r="CNR22" s="36"/>
      <c r="CNS22" s="36"/>
      <c r="CNT22" s="36"/>
      <c r="CNU22" s="36"/>
      <c r="CNV22" s="36"/>
      <c r="CNW22" s="36"/>
      <c r="CNX22" s="36"/>
      <c r="CNY22" s="36"/>
      <c r="CNZ22" s="36"/>
      <c r="COA22" s="36"/>
      <c r="COB22" s="36"/>
      <c r="COC22" s="36"/>
      <c r="COD22" s="36"/>
      <c r="COE22" s="36"/>
      <c r="COF22" s="36"/>
      <c r="COG22" s="36"/>
      <c r="COH22" s="36"/>
      <c r="COI22" s="36"/>
      <c r="COJ22" s="36"/>
      <c r="COK22" s="36"/>
      <c r="COL22" s="36"/>
      <c r="COM22" s="36"/>
      <c r="CON22" s="36"/>
      <c r="COO22" s="36"/>
      <c r="COP22" s="36"/>
      <c r="COQ22" s="36"/>
      <c r="COR22" s="36"/>
      <c r="COS22" s="36"/>
      <c r="COT22" s="36"/>
      <c r="COU22" s="36"/>
      <c r="COV22" s="36"/>
      <c r="COW22" s="36"/>
      <c r="COX22" s="36"/>
      <c r="COY22" s="36"/>
      <c r="COZ22" s="36"/>
      <c r="CPA22" s="36"/>
      <c r="CPB22" s="36"/>
      <c r="CPC22" s="36"/>
      <c r="CPD22" s="36"/>
      <c r="CPE22" s="36"/>
      <c r="CPF22" s="36"/>
      <c r="CPG22" s="36"/>
      <c r="CPH22" s="36"/>
      <c r="CPI22" s="36"/>
      <c r="CPJ22" s="36"/>
      <c r="CPK22" s="36"/>
      <c r="CPL22" s="36"/>
      <c r="CPM22" s="36"/>
      <c r="CPN22" s="36"/>
      <c r="CPO22" s="36"/>
      <c r="CPP22" s="36"/>
      <c r="CPQ22" s="36"/>
      <c r="CPR22" s="36"/>
      <c r="CPS22" s="36"/>
      <c r="CPT22" s="36"/>
      <c r="CPU22" s="36"/>
      <c r="CPV22" s="36"/>
      <c r="CPW22" s="36"/>
      <c r="CPX22" s="36"/>
      <c r="CPY22" s="36"/>
      <c r="CPZ22" s="36"/>
      <c r="CQA22" s="36"/>
      <c r="CQB22" s="36"/>
      <c r="CQC22" s="36"/>
      <c r="CQD22" s="36"/>
      <c r="CQE22" s="36"/>
      <c r="CQF22" s="36"/>
      <c r="CQG22" s="36"/>
      <c r="CQH22" s="36"/>
      <c r="CQI22" s="36"/>
      <c r="CQJ22" s="36"/>
      <c r="CQK22" s="36"/>
      <c r="CQL22" s="36"/>
      <c r="CQM22" s="36"/>
      <c r="CQN22" s="36"/>
      <c r="CQO22" s="36"/>
      <c r="CQP22" s="36"/>
      <c r="CQQ22" s="36"/>
      <c r="CQR22" s="36"/>
      <c r="CQS22" s="36"/>
      <c r="CQT22" s="36"/>
      <c r="CQU22" s="36"/>
      <c r="CQV22" s="36"/>
      <c r="CQW22" s="36"/>
      <c r="CQX22" s="36"/>
      <c r="CQY22" s="36"/>
      <c r="CQZ22" s="36"/>
      <c r="CRA22" s="36"/>
      <c r="CRB22" s="36"/>
      <c r="CRC22" s="36"/>
      <c r="CRD22" s="36"/>
      <c r="CRE22" s="36"/>
      <c r="CRF22" s="36"/>
      <c r="CRG22" s="36"/>
      <c r="CRH22" s="36"/>
      <c r="CRI22" s="36"/>
      <c r="CRJ22" s="36"/>
      <c r="CRK22" s="36"/>
      <c r="CRL22" s="36"/>
      <c r="CRM22" s="36"/>
      <c r="CRN22" s="36"/>
      <c r="CRO22" s="36"/>
      <c r="CRP22" s="36"/>
      <c r="CRQ22" s="36"/>
      <c r="CRR22" s="36"/>
      <c r="CRS22" s="36"/>
      <c r="CRT22" s="36"/>
      <c r="CRU22" s="36"/>
      <c r="CRV22" s="36"/>
      <c r="CRW22" s="36"/>
      <c r="CRX22" s="36"/>
      <c r="CRY22" s="36"/>
      <c r="CRZ22" s="36"/>
      <c r="CSA22" s="36"/>
      <c r="CSB22" s="36"/>
      <c r="CSC22" s="36"/>
      <c r="CSD22" s="36"/>
      <c r="CSE22" s="36"/>
      <c r="CSF22" s="36"/>
      <c r="CSG22" s="36"/>
      <c r="CSH22" s="36"/>
      <c r="CSI22" s="36"/>
      <c r="CSJ22" s="36"/>
      <c r="CSK22" s="36"/>
      <c r="CSL22" s="36"/>
      <c r="CSM22" s="36"/>
      <c r="CSN22" s="36"/>
      <c r="CSO22" s="36"/>
      <c r="CSP22" s="36"/>
      <c r="CSQ22" s="36"/>
      <c r="CSR22" s="36"/>
      <c r="CSS22" s="36"/>
      <c r="CST22" s="36"/>
      <c r="CSU22" s="36"/>
      <c r="CSV22" s="36"/>
      <c r="CSW22" s="36"/>
      <c r="CSX22" s="36"/>
      <c r="CSY22" s="36"/>
      <c r="CSZ22" s="36"/>
      <c r="CTA22" s="36"/>
      <c r="CTB22" s="36"/>
      <c r="CTC22" s="36"/>
      <c r="CTD22" s="36"/>
      <c r="CTE22" s="36"/>
      <c r="CTF22" s="36"/>
      <c r="CTG22" s="36"/>
      <c r="CTH22" s="36"/>
      <c r="CTI22" s="36"/>
      <c r="CTJ22" s="36"/>
      <c r="CTK22" s="36"/>
      <c r="CTL22" s="36"/>
      <c r="CTM22" s="36"/>
      <c r="CTN22" s="36"/>
      <c r="CTO22" s="36"/>
      <c r="CTP22" s="36"/>
      <c r="CTQ22" s="36"/>
      <c r="CTR22" s="36"/>
      <c r="CTS22" s="36"/>
      <c r="CTT22" s="36"/>
      <c r="CTU22" s="36"/>
      <c r="CTV22" s="36"/>
      <c r="CTW22" s="36"/>
      <c r="CTX22" s="36"/>
      <c r="CTY22" s="36"/>
      <c r="CTZ22" s="36"/>
      <c r="CUA22" s="36"/>
      <c r="CUB22" s="36"/>
      <c r="CUC22" s="36"/>
      <c r="CUD22" s="36"/>
      <c r="CUE22" s="36"/>
      <c r="CUF22" s="36"/>
      <c r="CUG22" s="36"/>
      <c r="CUH22" s="36"/>
      <c r="CUI22" s="36"/>
      <c r="CUJ22" s="36"/>
      <c r="CUK22" s="36"/>
      <c r="CUL22" s="36"/>
      <c r="CUM22" s="36"/>
      <c r="CUN22" s="36"/>
      <c r="CUO22" s="36"/>
      <c r="CUP22" s="36"/>
      <c r="CUQ22" s="36"/>
      <c r="CUR22" s="36"/>
      <c r="CUS22" s="36"/>
      <c r="CUT22" s="36"/>
      <c r="CUU22" s="36"/>
      <c r="CUV22" s="36"/>
      <c r="CUW22" s="36"/>
      <c r="CUX22" s="36"/>
      <c r="CUY22" s="36"/>
      <c r="CUZ22" s="36"/>
      <c r="CVA22" s="36"/>
      <c r="CVB22" s="36"/>
      <c r="CVC22" s="36"/>
      <c r="CVD22" s="36"/>
      <c r="CVE22" s="36"/>
      <c r="CVF22" s="36"/>
      <c r="CVG22" s="36"/>
      <c r="CVH22" s="36"/>
      <c r="CVI22" s="36"/>
      <c r="CVJ22" s="36"/>
      <c r="CVK22" s="36"/>
      <c r="CVL22" s="36"/>
      <c r="CVM22" s="36"/>
      <c r="CVN22" s="36"/>
      <c r="CVO22" s="36"/>
      <c r="CVP22" s="36"/>
      <c r="CVQ22" s="36"/>
      <c r="CVR22" s="36"/>
      <c r="CVS22" s="36"/>
      <c r="CVT22" s="36"/>
      <c r="CVU22" s="36"/>
      <c r="CVV22" s="36"/>
      <c r="CVW22" s="36"/>
      <c r="CVX22" s="36"/>
      <c r="CVY22" s="36"/>
      <c r="CVZ22" s="36"/>
      <c r="CWA22" s="36"/>
      <c r="CWB22" s="36"/>
      <c r="CWC22" s="36"/>
      <c r="CWD22" s="36"/>
      <c r="CWE22" s="36"/>
      <c r="CWF22" s="36"/>
      <c r="CWG22" s="36"/>
      <c r="CWH22" s="36"/>
      <c r="CWI22" s="36"/>
      <c r="CWJ22" s="36"/>
      <c r="CWK22" s="36"/>
      <c r="CWL22" s="36"/>
      <c r="CWM22" s="36"/>
      <c r="CWN22" s="36"/>
      <c r="CWO22" s="36"/>
      <c r="CWP22" s="36"/>
      <c r="CWQ22" s="36"/>
      <c r="CWR22" s="36"/>
      <c r="CWS22" s="36"/>
      <c r="CWT22" s="36"/>
      <c r="CWU22" s="36"/>
      <c r="CWV22" s="36"/>
      <c r="CWW22" s="36"/>
      <c r="CWX22" s="36"/>
      <c r="CWY22" s="36"/>
      <c r="CWZ22" s="36"/>
      <c r="CXA22" s="36"/>
      <c r="CXB22" s="36"/>
      <c r="CXC22" s="36"/>
      <c r="CXD22" s="36"/>
      <c r="CXE22" s="36"/>
      <c r="CXF22" s="36"/>
      <c r="CXG22" s="36"/>
      <c r="CXH22" s="36"/>
      <c r="CXI22" s="36"/>
      <c r="CXJ22" s="36"/>
      <c r="CXK22" s="36"/>
      <c r="CXL22" s="36"/>
      <c r="CXM22" s="36"/>
      <c r="CXN22" s="36"/>
      <c r="CXO22" s="36"/>
      <c r="CXP22" s="36"/>
      <c r="CXQ22" s="36"/>
      <c r="CXR22" s="36"/>
      <c r="CXS22" s="36"/>
      <c r="CXT22" s="36"/>
      <c r="CXU22" s="36"/>
      <c r="CXV22" s="36"/>
      <c r="CXW22" s="36"/>
      <c r="CXX22" s="36"/>
      <c r="CXY22" s="36"/>
      <c r="CXZ22" s="36"/>
      <c r="CYA22" s="36"/>
      <c r="CYB22" s="36"/>
      <c r="CYC22" s="36"/>
      <c r="CYD22" s="36"/>
      <c r="CYE22" s="36"/>
      <c r="CYF22" s="36"/>
      <c r="CYG22" s="36"/>
      <c r="CYH22" s="36"/>
      <c r="CYI22" s="36"/>
      <c r="CYJ22" s="36"/>
      <c r="CYK22" s="36"/>
      <c r="CYL22" s="36"/>
      <c r="CYM22" s="36"/>
      <c r="CYN22" s="36"/>
      <c r="CYO22" s="36"/>
      <c r="CYP22" s="36"/>
      <c r="CYQ22" s="36"/>
      <c r="CYR22" s="36"/>
      <c r="CYS22" s="36"/>
      <c r="CYT22" s="36"/>
      <c r="CYU22" s="36"/>
      <c r="CYV22" s="36"/>
      <c r="CYW22" s="36"/>
      <c r="CYX22" s="36"/>
      <c r="CYY22" s="36"/>
      <c r="CYZ22" s="36"/>
      <c r="CZA22" s="36"/>
      <c r="CZB22" s="36"/>
      <c r="CZC22" s="36"/>
      <c r="CZD22" s="36"/>
      <c r="CZE22" s="36"/>
      <c r="CZF22" s="36"/>
      <c r="CZG22" s="36"/>
      <c r="CZH22" s="36"/>
      <c r="CZI22" s="36"/>
      <c r="CZJ22" s="36"/>
      <c r="CZK22" s="36"/>
      <c r="CZL22" s="36"/>
      <c r="CZM22" s="36"/>
      <c r="CZN22" s="36"/>
      <c r="CZO22" s="36"/>
      <c r="CZP22" s="36"/>
      <c r="CZQ22" s="36"/>
      <c r="CZR22" s="36"/>
      <c r="CZS22" s="36"/>
      <c r="CZT22" s="36"/>
      <c r="CZU22" s="36"/>
      <c r="CZV22" s="36"/>
      <c r="CZW22" s="36"/>
      <c r="CZX22" s="36"/>
      <c r="CZY22" s="36"/>
      <c r="CZZ22" s="36"/>
      <c r="DAA22" s="36"/>
      <c r="DAB22" s="36"/>
      <c r="DAC22" s="36"/>
      <c r="DAD22" s="36"/>
      <c r="DAE22" s="36"/>
      <c r="DAF22" s="36"/>
      <c r="DAG22" s="36"/>
      <c r="DAH22" s="36"/>
      <c r="DAI22" s="36"/>
      <c r="DAJ22" s="36"/>
      <c r="DAK22" s="36"/>
      <c r="DAL22" s="36"/>
      <c r="DAM22" s="36"/>
      <c r="DAN22" s="36"/>
      <c r="DAO22" s="36"/>
      <c r="DAP22" s="36"/>
      <c r="DAQ22" s="36"/>
      <c r="DAR22" s="36"/>
      <c r="DAS22" s="36"/>
      <c r="DAT22" s="36"/>
      <c r="DAU22" s="36"/>
      <c r="DAV22" s="36"/>
      <c r="DAW22" s="36"/>
      <c r="DAX22" s="36"/>
      <c r="DAY22" s="36"/>
      <c r="DAZ22" s="36"/>
      <c r="DBA22" s="36"/>
      <c r="DBB22" s="36"/>
      <c r="DBC22" s="36"/>
      <c r="DBD22" s="36"/>
      <c r="DBE22" s="36"/>
      <c r="DBF22" s="36"/>
      <c r="DBG22" s="36"/>
      <c r="DBH22" s="36"/>
      <c r="DBI22" s="36"/>
      <c r="DBJ22" s="36"/>
      <c r="DBK22" s="36"/>
      <c r="DBL22" s="36"/>
      <c r="DBM22" s="36"/>
      <c r="DBN22" s="36"/>
      <c r="DBO22" s="36"/>
      <c r="DBP22" s="36"/>
      <c r="DBQ22" s="36"/>
      <c r="DBR22" s="36"/>
      <c r="DBS22" s="36"/>
      <c r="DBT22" s="36"/>
      <c r="DBU22" s="36"/>
      <c r="DBV22" s="36"/>
      <c r="DBW22" s="36"/>
      <c r="DBX22" s="36"/>
      <c r="DBY22" s="36"/>
      <c r="DBZ22" s="36"/>
      <c r="DCA22" s="36"/>
      <c r="DCB22" s="36"/>
      <c r="DCC22" s="36"/>
      <c r="DCD22" s="36"/>
      <c r="DCE22" s="36"/>
      <c r="DCF22" s="36"/>
      <c r="DCG22" s="36"/>
      <c r="DCH22" s="36"/>
      <c r="DCI22" s="36"/>
      <c r="DCJ22" s="36"/>
      <c r="DCK22" s="36"/>
      <c r="DCL22" s="36"/>
      <c r="DCM22" s="36"/>
      <c r="DCN22" s="36"/>
      <c r="DCO22" s="36"/>
      <c r="DCP22" s="36"/>
      <c r="DCQ22" s="36"/>
      <c r="DCR22" s="36"/>
      <c r="DCS22" s="36"/>
      <c r="DCT22" s="36"/>
      <c r="DCU22" s="36"/>
      <c r="DCV22" s="36"/>
      <c r="DCW22" s="36"/>
      <c r="DCX22" s="36"/>
      <c r="DCY22" s="36"/>
      <c r="DCZ22" s="36"/>
      <c r="DDA22" s="36"/>
      <c r="DDB22" s="36"/>
      <c r="DDC22" s="36"/>
      <c r="DDD22" s="36"/>
      <c r="DDE22" s="36"/>
      <c r="DDF22" s="36"/>
      <c r="DDG22" s="36"/>
      <c r="DDH22" s="36"/>
      <c r="DDI22" s="36"/>
      <c r="DDJ22" s="36"/>
      <c r="DDK22" s="36"/>
      <c r="DDL22" s="36"/>
      <c r="DDM22" s="36"/>
      <c r="DDN22" s="36"/>
      <c r="DDO22" s="36"/>
      <c r="DDP22" s="36"/>
      <c r="DDQ22" s="36"/>
      <c r="DDR22" s="36"/>
      <c r="DDS22" s="36"/>
      <c r="DDT22" s="36"/>
      <c r="DDU22" s="36"/>
      <c r="DDV22" s="36"/>
      <c r="DDW22" s="36"/>
      <c r="DDX22" s="36"/>
      <c r="DDY22" s="36"/>
      <c r="DDZ22" s="36"/>
      <c r="DEA22" s="36"/>
      <c r="DEB22" s="36"/>
      <c r="DEC22" s="36"/>
      <c r="DED22" s="36"/>
      <c r="DEE22" s="36"/>
      <c r="DEF22" s="36"/>
      <c r="DEG22" s="36"/>
      <c r="DEH22" s="36"/>
      <c r="DEI22" s="36"/>
      <c r="DEJ22" s="36"/>
      <c r="DEK22" s="36"/>
      <c r="DEL22" s="36"/>
      <c r="DEM22" s="36"/>
      <c r="DEN22" s="36"/>
      <c r="DEO22" s="36"/>
      <c r="DEP22" s="36"/>
      <c r="DEQ22" s="36"/>
      <c r="DER22" s="36"/>
      <c r="DES22" s="36"/>
      <c r="DET22" s="36"/>
      <c r="DEU22" s="36"/>
      <c r="DEV22" s="36"/>
      <c r="DEW22" s="36"/>
      <c r="DEX22" s="36"/>
      <c r="DEY22" s="36"/>
      <c r="DEZ22" s="36"/>
      <c r="DFA22" s="36"/>
      <c r="DFB22" s="36"/>
      <c r="DFC22" s="36"/>
      <c r="DFD22" s="36"/>
      <c r="DFE22" s="36"/>
      <c r="DFF22" s="36"/>
      <c r="DFG22" s="36"/>
      <c r="DFH22" s="36"/>
      <c r="DFI22" s="36"/>
      <c r="DFJ22" s="36"/>
      <c r="DFK22" s="36"/>
      <c r="DFL22" s="36"/>
      <c r="DFM22" s="36"/>
      <c r="DFN22" s="36"/>
      <c r="DFO22" s="36"/>
      <c r="DFP22" s="36"/>
      <c r="DFQ22" s="36"/>
      <c r="DFR22" s="36"/>
      <c r="DFS22" s="36"/>
      <c r="DFT22" s="36"/>
      <c r="DFU22" s="36"/>
      <c r="DFV22" s="36"/>
      <c r="DFW22" s="36"/>
      <c r="DFX22" s="36"/>
      <c r="DFY22" s="36"/>
      <c r="DFZ22" s="36"/>
      <c r="DGA22" s="36"/>
      <c r="DGB22" s="36"/>
      <c r="DGC22" s="36"/>
      <c r="DGD22" s="36"/>
      <c r="DGE22" s="36"/>
      <c r="DGF22" s="36"/>
      <c r="DGG22" s="36"/>
      <c r="DGH22" s="36"/>
      <c r="DGI22" s="36"/>
      <c r="DGJ22" s="36"/>
      <c r="DGK22" s="36"/>
      <c r="DGL22" s="36"/>
      <c r="DGM22" s="36"/>
      <c r="DGN22" s="36"/>
      <c r="DGO22" s="36"/>
      <c r="DGP22" s="36"/>
      <c r="DGQ22" s="36"/>
      <c r="DGR22" s="36"/>
      <c r="DGS22" s="36"/>
      <c r="DGT22" s="36"/>
      <c r="DGU22" s="36"/>
      <c r="DGV22" s="36"/>
      <c r="DGW22" s="36"/>
      <c r="DGX22" s="36"/>
      <c r="DGY22" s="36"/>
      <c r="DGZ22" s="36"/>
      <c r="DHA22" s="36"/>
      <c r="DHB22" s="36"/>
      <c r="DHC22" s="36"/>
      <c r="DHD22" s="36"/>
      <c r="DHE22" s="36"/>
      <c r="DHF22" s="36"/>
      <c r="DHG22" s="36"/>
      <c r="DHH22" s="36"/>
      <c r="DHI22" s="36"/>
      <c r="DHJ22" s="36"/>
      <c r="DHK22" s="36"/>
      <c r="DHL22" s="36"/>
      <c r="DHM22" s="36"/>
      <c r="DHN22" s="36"/>
      <c r="DHO22" s="36"/>
      <c r="DHP22" s="36"/>
      <c r="DHQ22" s="36"/>
      <c r="DHR22" s="36"/>
      <c r="DHS22" s="36"/>
      <c r="DHT22" s="36"/>
      <c r="DHU22" s="36"/>
      <c r="DHV22" s="36"/>
      <c r="DHW22" s="36"/>
      <c r="DHX22" s="36"/>
      <c r="DHY22" s="36"/>
      <c r="DHZ22" s="36"/>
      <c r="DIA22" s="36"/>
      <c r="DIB22" s="36"/>
      <c r="DIC22" s="36"/>
      <c r="DID22" s="36"/>
      <c r="DIE22" s="36"/>
      <c r="DIF22" s="36"/>
      <c r="DIG22" s="36"/>
      <c r="DIH22" s="36"/>
      <c r="DII22" s="36"/>
      <c r="DIJ22" s="36"/>
      <c r="DIK22" s="36"/>
      <c r="DIL22" s="36"/>
      <c r="DIM22" s="36"/>
      <c r="DIN22" s="36"/>
      <c r="DIO22" s="36"/>
      <c r="DIP22" s="36"/>
      <c r="DIQ22" s="36"/>
      <c r="DIR22" s="36"/>
      <c r="DIS22" s="36"/>
      <c r="DIT22" s="36"/>
      <c r="DIU22" s="36"/>
      <c r="DIV22" s="36"/>
      <c r="DIW22" s="36"/>
      <c r="DIX22" s="36"/>
      <c r="DIY22" s="36"/>
      <c r="DIZ22" s="36"/>
      <c r="DJA22" s="36"/>
      <c r="DJB22" s="36"/>
      <c r="DJC22" s="36"/>
      <c r="DJD22" s="36"/>
      <c r="DJE22" s="36"/>
      <c r="DJF22" s="36"/>
      <c r="DJG22" s="36"/>
      <c r="DJH22" s="36"/>
      <c r="DJI22" s="36"/>
      <c r="DJJ22" s="36"/>
      <c r="DJK22" s="36"/>
      <c r="DJL22" s="36"/>
      <c r="DJM22" s="36"/>
      <c r="DJN22" s="36"/>
      <c r="DJO22" s="36"/>
      <c r="DJP22" s="36"/>
      <c r="DJQ22" s="36"/>
      <c r="DJR22" s="36"/>
      <c r="DJS22" s="36"/>
      <c r="DJT22" s="36"/>
      <c r="DJU22" s="36"/>
      <c r="DJV22" s="36"/>
      <c r="DJW22" s="36"/>
      <c r="DJX22" s="36"/>
      <c r="DJY22" s="36"/>
      <c r="DJZ22" s="36"/>
      <c r="DKA22" s="36"/>
      <c r="DKB22" s="36"/>
      <c r="DKC22" s="36"/>
      <c r="DKD22" s="36"/>
      <c r="DKE22" s="36"/>
      <c r="DKF22" s="36"/>
      <c r="DKG22" s="36"/>
      <c r="DKH22" s="36"/>
      <c r="DKI22" s="36"/>
      <c r="DKJ22" s="36"/>
      <c r="DKK22" s="36"/>
      <c r="DKL22" s="36"/>
      <c r="DKM22" s="36"/>
      <c r="DKN22" s="36"/>
      <c r="DKO22" s="36"/>
      <c r="DKP22" s="36"/>
      <c r="DKQ22" s="36"/>
      <c r="DKR22" s="36"/>
      <c r="DKS22" s="36"/>
      <c r="DKT22" s="36"/>
      <c r="DKU22" s="36"/>
      <c r="DKV22" s="36"/>
      <c r="DKW22" s="36"/>
      <c r="DKX22" s="36"/>
      <c r="DKY22" s="36"/>
      <c r="DKZ22" s="36"/>
      <c r="DLA22" s="36"/>
      <c r="DLB22" s="36"/>
      <c r="DLC22" s="36"/>
      <c r="DLD22" s="36"/>
      <c r="DLE22" s="36"/>
      <c r="DLF22" s="36"/>
      <c r="DLG22" s="36"/>
      <c r="DLH22" s="36"/>
      <c r="DLI22" s="36"/>
      <c r="DLJ22" s="36"/>
      <c r="DLK22" s="36"/>
      <c r="DLL22" s="36"/>
      <c r="DLM22" s="36"/>
      <c r="DLN22" s="36"/>
      <c r="DLO22" s="36"/>
      <c r="DLP22" s="36"/>
      <c r="DLQ22" s="36"/>
      <c r="DLR22" s="36"/>
      <c r="DLS22" s="36"/>
      <c r="DLT22" s="36"/>
      <c r="DLU22" s="36"/>
      <c r="DLV22" s="36"/>
      <c r="DLW22" s="36"/>
      <c r="DLX22" s="36"/>
      <c r="DLY22" s="36"/>
      <c r="DLZ22" s="36"/>
      <c r="DMA22" s="36"/>
      <c r="DMB22" s="36"/>
      <c r="DMC22" s="36"/>
      <c r="DMD22" s="36"/>
      <c r="DME22" s="36"/>
      <c r="DMF22" s="36"/>
      <c r="DMG22" s="36"/>
      <c r="DMH22" s="36"/>
      <c r="DMI22" s="36"/>
      <c r="DMJ22" s="36"/>
      <c r="DMK22" s="36"/>
      <c r="DML22" s="36"/>
      <c r="DMM22" s="36"/>
      <c r="DMN22" s="36"/>
      <c r="DMO22" s="36"/>
      <c r="DMP22" s="36"/>
      <c r="DMQ22" s="36"/>
      <c r="DMR22" s="36"/>
      <c r="DMS22" s="36"/>
      <c r="DMT22" s="36"/>
      <c r="DMU22" s="36"/>
      <c r="DMV22" s="36"/>
      <c r="DMW22" s="36"/>
      <c r="DMX22" s="36"/>
      <c r="DMY22" s="36"/>
      <c r="DMZ22" s="36"/>
      <c r="DNA22" s="36"/>
      <c r="DNB22" s="36"/>
      <c r="DNC22" s="36"/>
      <c r="DND22" s="36"/>
      <c r="DNE22" s="36"/>
      <c r="DNF22" s="36"/>
      <c r="DNG22" s="36"/>
      <c r="DNH22" s="36"/>
      <c r="DNI22" s="36"/>
      <c r="DNJ22" s="36"/>
      <c r="DNK22" s="36"/>
      <c r="DNL22" s="36"/>
      <c r="DNM22" s="36"/>
      <c r="DNN22" s="36"/>
      <c r="DNO22" s="36"/>
      <c r="DNP22" s="36"/>
      <c r="DNQ22" s="36"/>
      <c r="DNR22" s="36"/>
      <c r="DNS22" s="36"/>
      <c r="DNT22" s="36"/>
      <c r="DNU22" s="36"/>
      <c r="DNV22" s="36"/>
      <c r="DNW22" s="36"/>
      <c r="DNX22" s="36"/>
      <c r="DNY22" s="36"/>
      <c r="DNZ22" s="36"/>
      <c r="DOA22" s="36"/>
      <c r="DOB22" s="36"/>
      <c r="DOC22" s="36"/>
      <c r="DOD22" s="36"/>
      <c r="DOE22" s="36"/>
      <c r="DOF22" s="36"/>
      <c r="DOG22" s="36"/>
      <c r="DOH22" s="36"/>
      <c r="DOI22" s="36"/>
      <c r="DOJ22" s="36"/>
      <c r="DOK22" s="36"/>
      <c r="DOL22" s="36"/>
      <c r="DOM22" s="36"/>
      <c r="DON22" s="36"/>
      <c r="DOO22" s="36"/>
      <c r="DOP22" s="36"/>
      <c r="DOQ22" s="36"/>
      <c r="DOR22" s="36"/>
      <c r="DOS22" s="36"/>
      <c r="DOT22" s="36"/>
      <c r="DOU22" s="36"/>
      <c r="DOV22" s="36"/>
      <c r="DOW22" s="36"/>
      <c r="DOX22" s="36"/>
      <c r="DOY22" s="36"/>
      <c r="DOZ22" s="36"/>
      <c r="DPA22" s="36"/>
      <c r="DPB22" s="36"/>
      <c r="DPC22" s="36"/>
      <c r="DPD22" s="36"/>
      <c r="DPE22" s="36"/>
      <c r="DPF22" s="36"/>
      <c r="DPG22" s="36"/>
      <c r="DPH22" s="36"/>
      <c r="DPI22" s="36"/>
      <c r="DPJ22" s="36"/>
      <c r="DPK22" s="36"/>
      <c r="DPL22" s="36"/>
      <c r="DPM22" s="36"/>
      <c r="DPN22" s="36"/>
      <c r="DPO22" s="36"/>
      <c r="DPP22" s="36"/>
      <c r="DPQ22" s="36"/>
      <c r="DPR22" s="36"/>
      <c r="DPS22" s="36"/>
      <c r="DPT22" s="36"/>
      <c r="DPU22" s="36"/>
      <c r="DPV22" s="36"/>
      <c r="DPW22" s="36"/>
      <c r="DPX22" s="36"/>
      <c r="DPY22" s="36"/>
      <c r="DPZ22" s="36"/>
      <c r="DQA22" s="36"/>
      <c r="DQB22" s="36"/>
      <c r="DQC22" s="36"/>
      <c r="DQD22" s="36"/>
      <c r="DQE22" s="36"/>
      <c r="DQF22" s="36"/>
      <c r="DQG22" s="36"/>
      <c r="DQH22" s="36"/>
      <c r="DQI22" s="36"/>
      <c r="DQJ22" s="36"/>
      <c r="DQK22" s="36"/>
      <c r="DQL22" s="36"/>
      <c r="DQM22" s="36"/>
      <c r="DQN22" s="36"/>
      <c r="DQO22" s="36"/>
      <c r="DQP22" s="36"/>
      <c r="DQQ22" s="36"/>
      <c r="DQR22" s="36"/>
      <c r="DQS22" s="36"/>
      <c r="DQT22" s="36"/>
      <c r="DQU22" s="36"/>
      <c r="DQV22" s="36"/>
      <c r="DQW22" s="36"/>
      <c r="DQX22" s="36"/>
      <c r="DQY22" s="36"/>
      <c r="DQZ22" s="36"/>
      <c r="DRA22" s="36"/>
      <c r="DRB22" s="36"/>
      <c r="DRC22" s="36"/>
      <c r="DRD22" s="36"/>
      <c r="DRE22" s="36"/>
      <c r="DRF22" s="36"/>
      <c r="DRG22" s="36"/>
      <c r="DRH22" s="36"/>
      <c r="DRI22" s="36"/>
      <c r="DRJ22" s="36"/>
      <c r="DRK22" s="36"/>
      <c r="DRL22" s="36"/>
      <c r="DRM22" s="36"/>
      <c r="DRN22" s="36"/>
      <c r="DRO22" s="36"/>
      <c r="DRP22" s="36"/>
      <c r="DRQ22" s="36"/>
      <c r="DRR22" s="36"/>
      <c r="DRS22" s="36"/>
      <c r="DRT22" s="36"/>
      <c r="DRU22" s="36"/>
      <c r="DRV22" s="36"/>
      <c r="DRW22" s="36"/>
      <c r="DRX22" s="36"/>
      <c r="DRY22" s="36"/>
      <c r="DRZ22" s="36"/>
      <c r="DSA22" s="36"/>
      <c r="DSB22" s="36"/>
      <c r="DSC22" s="36"/>
      <c r="DSD22" s="36"/>
      <c r="DSE22" s="36"/>
      <c r="DSF22" s="36"/>
      <c r="DSG22" s="36"/>
      <c r="DSH22" s="36"/>
      <c r="DSI22" s="36"/>
      <c r="DSJ22" s="36"/>
      <c r="DSK22" s="36"/>
      <c r="DSL22" s="36"/>
      <c r="DSM22" s="36"/>
      <c r="DSN22" s="36"/>
      <c r="DSO22" s="36"/>
      <c r="DSP22" s="36"/>
      <c r="DSQ22" s="36"/>
      <c r="DSR22" s="36"/>
      <c r="DSS22" s="36"/>
      <c r="DST22" s="36"/>
      <c r="DSU22" s="36"/>
      <c r="DSV22" s="36"/>
      <c r="DSW22" s="36"/>
      <c r="DSX22" s="36"/>
      <c r="DSY22" s="36"/>
      <c r="DSZ22" s="36"/>
      <c r="DTA22" s="36"/>
      <c r="DTB22" s="36"/>
      <c r="DTC22" s="36"/>
      <c r="DTD22" s="36"/>
      <c r="DTE22" s="36"/>
      <c r="DTF22" s="36"/>
      <c r="DTG22" s="36"/>
      <c r="DTH22" s="36"/>
      <c r="DTI22" s="36"/>
      <c r="DTJ22" s="36"/>
      <c r="DTK22" s="36"/>
      <c r="DTL22" s="36"/>
      <c r="DTM22" s="36"/>
      <c r="DTN22" s="36"/>
      <c r="DTO22" s="36"/>
      <c r="DTP22" s="36"/>
      <c r="DTQ22" s="36"/>
      <c r="DTR22" s="36"/>
      <c r="DTS22" s="36"/>
      <c r="DTT22" s="36"/>
      <c r="DTU22" s="36"/>
      <c r="DTV22" s="36"/>
      <c r="DTW22" s="36"/>
      <c r="DTX22" s="36"/>
      <c r="DTY22" s="36"/>
      <c r="DTZ22" s="36"/>
      <c r="DUA22" s="36"/>
      <c r="DUB22" s="36"/>
      <c r="DUC22" s="36"/>
      <c r="DUD22" s="36"/>
      <c r="DUE22" s="36"/>
      <c r="DUF22" s="36"/>
      <c r="DUG22" s="36"/>
      <c r="DUH22" s="36"/>
      <c r="DUI22" s="36"/>
      <c r="DUJ22" s="36"/>
      <c r="DUK22" s="36"/>
      <c r="DUL22" s="36"/>
      <c r="DUM22" s="36"/>
      <c r="DUN22" s="36"/>
      <c r="DUO22" s="36"/>
      <c r="DUP22" s="36"/>
      <c r="DUQ22" s="36"/>
      <c r="DUR22" s="36"/>
      <c r="DUS22" s="36"/>
      <c r="DUT22" s="36"/>
      <c r="DUU22" s="36"/>
      <c r="DUV22" s="36"/>
      <c r="DUW22" s="36"/>
      <c r="DUX22" s="36"/>
      <c r="DUY22" s="36"/>
      <c r="DUZ22" s="36"/>
      <c r="DVA22" s="36"/>
      <c r="DVB22" s="36"/>
      <c r="DVC22" s="36"/>
      <c r="DVD22" s="36"/>
      <c r="DVE22" s="36"/>
      <c r="DVF22" s="36"/>
      <c r="DVG22" s="36"/>
      <c r="DVH22" s="36"/>
      <c r="DVI22" s="36"/>
      <c r="DVJ22" s="36"/>
      <c r="DVK22" s="36"/>
      <c r="DVL22" s="36"/>
      <c r="DVM22" s="36"/>
      <c r="DVN22" s="36"/>
      <c r="DVO22" s="36"/>
      <c r="DVP22" s="36"/>
      <c r="DVQ22" s="36"/>
      <c r="DVR22" s="36"/>
      <c r="DVS22" s="36"/>
      <c r="DVT22" s="36"/>
      <c r="DVU22" s="36"/>
      <c r="DVV22" s="36"/>
      <c r="DVW22" s="36"/>
      <c r="DVX22" s="36"/>
      <c r="DVY22" s="36"/>
      <c r="DVZ22" s="36"/>
      <c r="DWA22" s="36"/>
      <c r="DWB22" s="36"/>
      <c r="DWC22" s="36"/>
      <c r="DWD22" s="36"/>
      <c r="DWE22" s="36"/>
      <c r="DWF22" s="36"/>
      <c r="DWG22" s="36"/>
      <c r="DWH22" s="36"/>
      <c r="DWI22" s="36"/>
      <c r="DWJ22" s="36"/>
      <c r="DWK22" s="36"/>
      <c r="DWL22" s="36"/>
      <c r="DWM22" s="36"/>
      <c r="DWN22" s="36"/>
      <c r="DWO22" s="36"/>
      <c r="DWP22" s="36"/>
      <c r="DWQ22" s="36"/>
      <c r="DWR22" s="36"/>
      <c r="DWS22" s="36"/>
      <c r="DWT22" s="36"/>
      <c r="DWU22" s="36"/>
      <c r="DWV22" s="36"/>
      <c r="DWW22" s="36"/>
      <c r="DWX22" s="36"/>
      <c r="DWY22" s="36"/>
      <c r="DWZ22" s="36"/>
      <c r="DXA22" s="36"/>
      <c r="DXB22" s="36"/>
      <c r="DXC22" s="36"/>
      <c r="DXD22" s="36"/>
      <c r="DXE22" s="36"/>
      <c r="DXF22" s="36"/>
      <c r="DXG22" s="36"/>
      <c r="DXH22" s="36"/>
      <c r="DXI22" s="36"/>
      <c r="DXJ22" s="36"/>
      <c r="DXK22" s="36"/>
      <c r="DXL22" s="36"/>
      <c r="DXM22" s="36"/>
      <c r="DXN22" s="36"/>
      <c r="DXO22" s="36"/>
      <c r="DXP22" s="36"/>
      <c r="DXQ22" s="36"/>
      <c r="DXR22" s="36"/>
      <c r="DXS22" s="36"/>
      <c r="DXT22" s="36"/>
      <c r="DXU22" s="36"/>
      <c r="DXV22" s="36"/>
      <c r="DXW22" s="36"/>
      <c r="DXX22" s="36"/>
      <c r="DXY22" s="36"/>
      <c r="DXZ22" s="36"/>
      <c r="DYA22" s="36"/>
      <c r="DYB22" s="36"/>
      <c r="DYC22" s="36"/>
      <c r="DYD22" s="36"/>
      <c r="DYE22" s="36"/>
      <c r="DYF22" s="36"/>
      <c r="DYG22" s="36"/>
      <c r="DYH22" s="36"/>
      <c r="DYI22" s="36"/>
      <c r="DYJ22" s="36"/>
      <c r="DYK22" s="36"/>
      <c r="DYL22" s="36"/>
      <c r="DYM22" s="36"/>
      <c r="DYN22" s="36"/>
      <c r="DYO22" s="36"/>
      <c r="DYP22" s="36"/>
      <c r="DYQ22" s="36"/>
      <c r="DYR22" s="36"/>
      <c r="DYS22" s="36"/>
      <c r="DYT22" s="36"/>
      <c r="DYU22" s="36"/>
      <c r="DYV22" s="36"/>
      <c r="DYW22" s="36"/>
      <c r="DYX22" s="36"/>
      <c r="DYY22" s="36"/>
      <c r="DYZ22" s="36"/>
      <c r="DZA22" s="36"/>
      <c r="DZB22" s="36"/>
      <c r="DZC22" s="36"/>
      <c r="DZD22" s="36"/>
      <c r="DZE22" s="36"/>
      <c r="DZF22" s="36"/>
      <c r="DZG22" s="36"/>
      <c r="DZH22" s="36"/>
      <c r="DZI22" s="36"/>
      <c r="DZJ22" s="36"/>
      <c r="DZK22" s="36"/>
      <c r="DZL22" s="36"/>
      <c r="DZM22" s="36"/>
      <c r="DZN22" s="36"/>
      <c r="DZO22" s="36"/>
      <c r="DZP22" s="36"/>
      <c r="DZQ22" s="36"/>
      <c r="DZR22" s="36"/>
      <c r="DZS22" s="36"/>
      <c r="DZT22" s="36"/>
      <c r="DZU22" s="36"/>
      <c r="DZV22" s="36"/>
      <c r="DZW22" s="36"/>
      <c r="DZX22" s="36"/>
      <c r="DZY22" s="36"/>
      <c r="DZZ22" s="36"/>
      <c r="EAA22" s="36"/>
      <c r="EAB22" s="36"/>
      <c r="EAC22" s="36"/>
      <c r="EAD22" s="36"/>
      <c r="EAE22" s="36"/>
      <c r="EAF22" s="36"/>
      <c r="EAG22" s="36"/>
      <c r="EAH22" s="36"/>
      <c r="EAI22" s="36"/>
      <c r="EAJ22" s="36"/>
      <c r="EAK22" s="36"/>
      <c r="EAL22" s="36"/>
      <c r="EAM22" s="36"/>
      <c r="EAN22" s="36"/>
      <c r="EAO22" s="36"/>
      <c r="EAP22" s="36"/>
      <c r="EAQ22" s="36"/>
      <c r="EAR22" s="36"/>
      <c r="EAS22" s="36"/>
      <c r="EAT22" s="36"/>
      <c r="EAU22" s="36"/>
      <c r="EAV22" s="36"/>
      <c r="EAW22" s="36"/>
      <c r="EAX22" s="36"/>
      <c r="EAY22" s="36"/>
      <c r="EAZ22" s="36"/>
      <c r="EBA22" s="36"/>
      <c r="EBB22" s="36"/>
      <c r="EBC22" s="36"/>
      <c r="EBD22" s="36"/>
      <c r="EBE22" s="36"/>
      <c r="EBF22" s="36"/>
      <c r="EBG22" s="36"/>
      <c r="EBH22" s="36"/>
      <c r="EBI22" s="36"/>
      <c r="EBJ22" s="36"/>
      <c r="EBK22" s="36"/>
      <c r="EBL22" s="36"/>
      <c r="EBM22" s="36"/>
      <c r="EBN22" s="36"/>
      <c r="EBO22" s="36"/>
      <c r="EBP22" s="36"/>
      <c r="EBQ22" s="36"/>
      <c r="EBR22" s="36"/>
      <c r="EBS22" s="36"/>
      <c r="EBT22" s="36"/>
      <c r="EBU22" s="36"/>
      <c r="EBV22" s="36"/>
      <c r="EBW22" s="36"/>
      <c r="EBX22" s="36"/>
      <c r="EBY22" s="36"/>
      <c r="EBZ22" s="36"/>
      <c r="ECA22" s="36"/>
      <c r="ECB22" s="36"/>
      <c r="ECC22" s="36"/>
      <c r="ECD22" s="36"/>
      <c r="ECE22" s="36"/>
      <c r="ECF22" s="36"/>
      <c r="ECG22" s="36"/>
      <c r="ECH22" s="36"/>
      <c r="ECI22" s="36"/>
      <c r="ECJ22" s="36"/>
      <c r="ECK22" s="36"/>
      <c r="ECL22" s="36"/>
      <c r="ECM22" s="36"/>
      <c r="ECN22" s="36"/>
      <c r="ECO22" s="36"/>
      <c r="ECP22" s="36"/>
      <c r="ECQ22" s="36"/>
      <c r="ECR22" s="36"/>
      <c r="ECS22" s="36"/>
      <c r="ECT22" s="36"/>
      <c r="ECU22" s="36"/>
      <c r="ECV22" s="36"/>
      <c r="ECW22" s="36"/>
      <c r="ECX22" s="36"/>
      <c r="ECY22" s="36"/>
      <c r="ECZ22" s="36"/>
      <c r="EDA22" s="36"/>
      <c r="EDB22" s="36"/>
      <c r="EDC22" s="36"/>
      <c r="EDD22" s="36"/>
      <c r="EDE22" s="36"/>
      <c r="EDF22" s="36"/>
      <c r="EDG22" s="36"/>
      <c r="EDH22" s="36"/>
      <c r="EDI22" s="36"/>
      <c r="EDJ22" s="36"/>
      <c r="EDK22" s="36"/>
      <c r="EDL22" s="36"/>
      <c r="EDM22" s="36"/>
      <c r="EDN22" s="36"/>
      <c r="EDO22" s="36"/>
      <c r="EDP22" s="36"/>
      <c r="EDQ22" s="36"/>
      <c r="EDR22" s="36"/>
      <c r="EDS22" s="36"/>
      <c r="EDT22" s="36"/>
      <c r="EDU22" s="36"/>
      <c r="EDV22" s="36"/>
      <c r="EDW22" s="36"/>
      <c r="EDX22" s="36"/>
      <c r="EDY22" s="36"/>
      <c r="EDZ22" s="36"/>
      <c r="EEA22" s="36"/>
      <c r="EEB22" s="36"/>
      <c r="EEC22" s="36"/>
      <c r="EED22" s="36"/>
      <c r="EEE22" s="36"/>
      <c r="EEF22" s="36"/>
      <c r="EEG22" s="36"/>
      <c r="EEH22" s="36"/>
      <c r="EEI22" s="36"/>
      <c r="EEJ22" s="36"/>
      <c r="EEK22" s="36"/>
      <c r="EEL22" s="36"/>
      <c r="EEM22" s="36"/>
      <c r="EEN22" s="36"/>
      <c r="EEO22" s="36"/>
      <c r="EEP22" s="36"/>
      <c r="EEQ22" s="36"/>
      <c r="EER22" s="36"/>
      <c r="EES22" s="36"/>
      <c r="EET22" s="36"/>
      <c r="EEU22" s="36"/>
      <c r="EEV22" s="36"/>
      <c r="EEW22" s="36"/>
      <c r="EEX22" s="36"/>
      <c r="EEY22" s="36"/>
      <c r="EEZ22" s="36"/>
      <c r="EFA22" s="36"/>
      <c r="EFB22" s="36"/>
      <c r="EFC22" s="36"/>
      <c r="EFD22" s="36"/>
      <c r="EFE22" s="36"/>
      <c r="EFF22" s="36"/>
      <c r="EFG22" s="36"/>
      <c r="EFH22" s="36"/>
      <c r="EFI22" s="36"/>
      <c r="EFJ22" s="36"/>
      <c r="EFK22" s="36"/>
      <c r="EFL22" s="36"/>
      <c r="EFM22" s="36"/>
      <c r="EFN22" s="36"/>
      <c r="EFO22" s="36"/>
      <c r="EFP22" s="36"/>
      <c r="EFQ22" s="36"/>
      <c r="EFR22" s="36"/>
      <c r="EFS22" s="36"/>
      <c r="EFT22" s="36"/>
      <c r="EFU22" s="36"/>
      <c r="EFV22" s="36"/>
      <c r="EFW22" s="36"/>
      <c r="EFX22" s="36"/>
      <c r="EFY22" s="36"/>
      <c r="EFZ22" s="36"/>
      <c r="EGA22" s="36"/>
      <c r="EGB22" s="36"/>
      <c r="EGC22" s="36"/>
      <c r="EGD22" s="36"/>
      <c r="EGE22" s="36"/>
      <c r="EGF22" s="36"/>
      <c r="EGG22" s="36"/>
      <c r="EGH22" s="36"/>
      <c r="EGI22" s="36"/>
      <c r="EGJ22" s="36"/>
      <c r="EGK22" s="36"/>
      <c r="EGL22" s="36"/>
      <c r="EGM22" s="36"/>
      <c r="EGN22" s="36"/>
      <c r="EGO22" s="36"/>
      <c r="EGP22" s="36"/>
      <c r="EGQ22" s="36"/>
      <c r="EGR22" s="36"/>
      <c r="EGS22" s="36"/>
      <c r="EGT22" s="36"/>
      <c r="EGU22" s="36"/>
      <c r="EGV22" s="36"/>
      <c r="EGW22" s="36"/>
      <c r="EGX22" s="36"/>
      <c r="EGY22" s="36"/>
      <c r="EGZ22" s="36"/>
      <c r="EHA22" s="36"/>
      <c r="EHB22" s="36"/>
      <c r="EHC22" s="36"/>
      <c r="EHD22" s="36"/>
      <c r="EHE22" s="36"/>
      <c r="EHF22" s="36"/>
      <c r="EHG22" s="36"/>
      <c r="EHH22" s="36"/>
      <c r="EHI22" s="36"/>
      <c r="EHJ22" s="36"/>
      <c r="EHK22" s="36"/>
      <c r="EHL22" s="36"/>
      <c r="EHM22" s="36"/>
      <c r="EHN22" s="36"/>
      <c r="EHO22" s="36"/>
      <c r="EHP22" s="36"/>
      <c r="EHQ22" s="36"/>
      <c r="EHR22" s="36"/>
      <c r="EHS22" s="36"/>
      <c r="EHT22" s="36"/>
      <c r="EHU22" s="36"/>
      <c r="EHV22" s="36"/>
      <c r="EHW22" s="36"/>
      <c r="EHX22" s="36"/>
      <c r="EHY22" s="36"/>
      <c r="EHZ22" s="36"/>
      <c r="EIA22" s="36"/>
      <c r="EIB22" s="36"/>
      <c r="EIC22" s="36"/>
      <c r="EID22" s="36"/>
      <c r="EIE22" s="36"/>
      <c r="EIF22" s="36"/>
      <c r="EIG22" s="36"/>
      <c r="EIH22" s="36"/>
      <c r="EII22" s="36"/>
      <c r="EIJ22" s="36"/>
      <c r="EIK22" s="36"/>
      <c r="EIL22" s="36"/>
      <c r="EIM22" s="36"/>
      <c r="EIN22" s="36"/>
      <c r="EIO22" s="36"/>
      <c r="EIP22" s="36"/>
      <c r="EIQ22" s="36"/>
      <c r="EIR22" s="36"/>
      <c r="EIS22" s="36"/>
      <c r="EIT22" s="36"/>
      <c r="EIU22" s="36"/>
      <c r="EIV22" s="36"/>
      <c r="EIW22" s="36"/>
      <c r="EIX22" s="36"/>
      <c r="EIY22" s="36"/>
      <c r="EIZ22" s="36"/>
      <c r="EJA22" s="36"/>
      <c r="EJB22" s="36"/>
      <c r="EJC22" s="36"/>
      <c r="EJD22" s="36"/>
      <c r="EJE22" s="36"/>
      <c r="EJF22" s="36"/>
      <c r="EJG22" s="36"/>
      <c r="EJH22" s="36"/>
      <c r="EJI22" s="36"/>
      <c r="EJJ22" s="36"/>
      <c r="EJK22" s="36"/>
      <c r="EJL22" s="36"/>
      <c r="EJM22" s="36"/>
      <c r="EJN22" s="36"/>
      <c r="EJO22" s="36"/>
      <c r="EJP22" s="36"/>
      <c r="EJQ22" s="36"/>
      <c r="EJR22" s="36"/>
      <c r="EJS22" s="36"/>
      <c r="EJT22" s="36"/>
      <c r="EJU22" s="36"/>
      <c r="EJV22" s="36"/>
      <c r="EJW22" s="36"/>
      <c r="EJX22" s="36"/>
      <c r="EJY22" s="36"/>
      <c r="EJZ22" s="36"/>
      <c r="EKA22" s="36"/>
      <c r="EKB22" s="36"/>
      <c r="EKC22" s="36"/>
      <c r="EKD22" s="36"/>
      <c r="EKE22" s="36"/>
      <c r="EKF22" s="36"/>
      <c r="EKG22" s="36"/>
      <c r="EKH22" s="36"/>
      <c r="EKI22" s="36"/>
      <c r="EKJ22" s="36"/>
      <c r="EKK22" s="36"/>
      <c r="EKL22" s="36"/>
      <c r="EKM22" s="36"/>
      <c r="EKN22" s="36"/>
      <c r="EKO22" s="36"/>
      <c r="EKP22" s="36"/>
      <c r="EKQ22" s="36"/>
      <c r="EKR22" s="36"/>
      <c r="EKS22" s="36"/>
      <c r="EKT22" s="36"/>
      <c r="EKU22" s="36"/>
      <c r="EKV22" s="36"/>
      <c r="EKW22" s="36"/>
      <c r="EKX22" s="36"/>
      <c r="EKY22" s="36"/>
      <c r="EKZ22" s="36"/>
      <c r="ELA22" s="36"/>
      <c r="ELB22" s="36"/>
      <c r="ELC22" s="36"/>
      <c r="ELD22" s="36"/>
      <c r="ELE22" s="36"/>
      <c r="ELF22" s="36"/>
      <c r="ELG22" s="36"/>
      <c r="ELH22" s="36"/>
      <c r="ELI22" s="36"/>
      <c r="ELJ22" s="36"/>
      <c r="ELK22" s="36"/>
      <c r="ELL22" s="36"/>
      <c r="ELM22" s="36"/>
      <c r="ELN22" s="36"/>
      <c r="ELO22" s="36"/>
      <c r="ELP22" s="36"/>
      <c r="ELQ22" s="36"/>
      <c r="ELR22" s="36"/>
      <c r="ELS22" s="36"/>
      <c r="ELT22" s="36"/>
      <c r="ELU22" s="36"/>
      <c r="ELV22" s="36"/>
      <c r="ELW22" s="36"/>
      <c r="ELX22" s="36"/>
      <c r="ELY22" s="36"/>
      <c r="ELZ22" s="36"/>
      <c r="EMA22" s="36"/>
      <c r="EMB22" s="36"/>
      <c r="EMC22" s="36"/>
      <c r="EMD22" s="36"/>
      <c r="EME22" s="36"/>
      <c r="EMF22" s="36"/>
      <c r="EMG22" s="36"/>
      <c r="EMH22" s="36"/>
      <c r="EMI22" s="36"/>
      <c r="EMJ22" s="36"/>
      <c r="EMK22" s="36"/>
      <c r="EML22" s="36"/>
      <c r="EMM22" s="36"/>
      <c r="EMN22" s="36"/>
      <c r="EMO22" s="36"/>
      <c r="EMP22" s="36"/>
      <c r="EMQ22" s="36"/>
      <c r="EMR22" s="36"/>
      <c r="EMS22" s="36"/>
      <c r="EMT22" s="36"/>
      <c r="EMU22" s="36"/>
      <c r="EMV22" s="36"/>
      <c r="EMW22" s="36"/>
      <c r="EMX22" s="36"/>
      <c r="EMY22" s="36"/>
      <c r="EMZ22" s="36"/>
      <c r="ENA22" s="36"/>
      <c r="ENB22" s="36"/>
      <c r="ENC22" s="36"/>
      <c r="END22" s="36"/>
      <c r="ENE22" s="36"/>
      <c r="ENF22" s="36"/>
      <c r="ENG22" s="36"/>
      <c r="ENH22" s="36"/>
      <c r="ENI22" s="36"/>
      <c r="ENJ22" s="36"/>
      <c r="ENK22" s="36"/>
      <c r="ENL22" s="36"/>
      <c r="ENM22" s="36"/>
      <c r="ENN22" s="36"/>
      <c r="ENO22" s="36"/>
      <c r="ENP22" s="36"/>
      <c r="ENQ22" s="36"/>
      <c r="ENR22" s="36"/>
      <c r="ENS22" s="36"/>
      <c r="ENT22" s="36"/>
      <c r="ENU22" s="36"/>
      <c r="ENV22" s="36"/>
      <c r="ENW22" s="36"/>
      <c r="ENX22" s="36"/>
      <c r="ENY22" s="36"/>
      <c r="ENZ22" s="36"/>
      <c r="EOA22" s="36"/>
      <c r="EOB22" s="36"/>
      <c r="EOC22" s="36"/>
      <c r="EOD22" s="36"/>
      <c r="EOE22" s="36"/>
      <c r="EOF22" s="36"/>
      <c r="EOG22" s="36"/>
      <c r="EOH22" s="36"/>
      <c r="EOI22" s="36"/>
      <c r="EOJ22" s="36"/>
      <c r="EOK22" s="36"/>
      <c r="EOL22" s="36"/>
      <c r="EOM22" s="36"/>
      <c r="EON22" s="36"/>
      <c r="EOO22" s="36"/>
      <c r="EOP22" s="36"/>
      <c r="EOQ22" s="36"/>
      <c r="EOR22" s="36"/>
      <c r="EOS22" s="36"/>
      <c r="EOT22" s="36"/>
      <c r="EOU22" s="36"/>
      <c r="EOV22" s="36"/>
      <c r="EOW22" s="36"/>
      <c r="EOX22" s="36"/>
      <c r="EOY22" s="36"/>
      <c r="EOZ22" s="36"/>
      <c r="EPA22" s="36"/>
      <c r="EPB22" s="36"/>
      <c r="EPC22" s="36"/>
      <c r="EPD22" s="36"/>
      <c r="EPE22" s="36"/>
      <c r="EPF22" s="36"/>
      <c r="EPG22" s="36"/>
      <c r="EPH22" s="36"/>
      <c r="EPI22" s="36"/>
      <c r="EPJ22" s="36"/>
      <c r="EPK22" s="36"/>
      <c r="EPL22" s="36"/>
      <c r="EPM22" s="36"/>
      <c r="EPN22" s="36"/>
      <c r="EPO22" s="36"/>
      <c r="EPP22" s="36"/>
      <c r="EPQ22" s="36"/>
      <c r="EPR22" s="36"/>
      <c r="EPS22" s="36"/>
      <c r="EPT22" s="36"/>
      <c r="EPU22" s="36"/>
      <c r="EPV22" s="36"/>
      <c r="EPW22" s="36"/>
      <c r="EPX22" s="36"/>
      <c r="EPY22" s="36"/>
      <c r="EPZ22" s="36"/>
      <c r="EQA22" s="36"/>
      <c r="EQB22" s="36"/>
      <c r="EQC22" s="36"/>
      <c r="EQD22" s="36"/>
      <c r="EQE22" s="36"/>
      <c r="EQF22" s="36"/>
      <c r="EQG22" s="36"/>
      <c r="EQH22" s="36"/>
      <c r="EQI22" s="36"/>
      <c r="EQJ22" s="36"/>
      <c r="EQK22" s="36"/>
      <c r="EQL22" s="36"/>
      <c r="EQM22" s="36"/>
      <c r="EQN22" s="36"/>
      <c r="EQO22" s="36"/>
      <c r="EQP22" s="36"/>
      <c r="EQQ22" s="36"/>
      <c r="EQR22" s="36"/>
      <c r="EQS22" s="36"/>
      <c r="EQT22" s="36"/>
      <c r="EQU22" s="36"/>
      <c r="EQV22" s="36"/>
      <c r="EQW22" s="36"/>
      <c r="EQX22" s="36"/>
      <c r="EQY22" s="36"/>
      <c r="EQZ22" s="36"/>
      <c r="ERA22" s="36"/>
      <c r="ERB22" s="36"/>
      <c r="ERC22" s="36"/>
      <c r="ERD22" s="36"/>
      <c r="ERE22" s="36"/>
      <c r="ERF22" s="36"/>
      <c r="ERG22" s="36"/>
      <c r="ERH22" s="36"/>
      <c r="ERI22" s="36"/>
      <c r="ERJ22" s="36"/>
      <c r="ERK22" s="36"/>
      <c r="ERL22" s="36"/>
      <c r="ERM22" s="36"/>
      <c r="ERN22" s="36"/>
      <c r="ERO22" s="36"/>
      <c r="ERP22" s="36"/>
      <c r="ERQ22" s="36"/>
      <c r="ERR22" s="36"/>
      <c r="ERS22" s="36"/>
      <c r="ERT22" s="36"/>
      <c r="ERU22" s="36"/>
      <c r="ERV22" s="36"/>
      <c r="ERW22" s="36"/>
      <c r="ERX22" s="36"/>
      <c r="ERY22" s="36"/>
      <c r="ERZ22" s="36"/>
      <c r="ESA22" s="36"/>
      <c r="ESB22" s="36"/>
      <c r="ESC22" s="36"/>
      <c r="ESD22" s="36"/>
      <c r="ESE22" s="36"/>
      <c r="ESF22" s="36"/>
      <c r="ESG22" s="36"/>
      <c r="ESH22" s="36"/>
      <c r="ESI22" s="36"/>
      <c r="ESJ22" s="36"/>
      <c r="ESK22" s="36"/>
      <c r="ESL22" s="36"/>
      <c r="ESM22" s="36"/>
      <c r="ESN22" s="36"/>
      <c r="ESO22" s="36"/>
      <c r="ESP22" s="36"/>
      <c r="ESQ22" s="36"/>
      <c r="ESR22" s="36"/>
      <c r="ESS22" s="36"/>
      <c r="EST22" s="36"/>
      <c r="ESU22" s="36"/>
      <c r="ESV22" s="36"/>
      <c r="ESW22" s="36"/>
      <c r="ESX22" s="36"/>
      <c r="ESY22" s="36"/>
      <c r="ESZ22" s="36"/>
      <c r="ETA22" s="36"/>
      <c r="ETB22" s="36"/>
      <c r="ETC22" s="36"/>
      <c r="ETD22" s="36"/>
      <c r="ETE22" s="36"/>
      <c r="ETF22" s="36"/>
      <c r="ETG22" s="36"/>
      <c r="ETH22" s="36"/>
      <c r="ETI22" s="36"/>
      <c r="ETJ22" s="36"/>
      <c r="ETK22" s="36"/>
      <c r="ETL22" s="36"/>
      <c r="ETM22" s="36"/>
      <c r="ETN22" s="36"/>
      <c r="ETO22" s="36"/>
      <c r="ETP22" s="36"/>
      <c r="ETQ22" s="36"/>
      <c r="ETR22" s="36"/>
      <c r="ETS22" s="36"/>
      <c r="ETT22" s="36"/>
      <c r="ETU22" s="36"/>
      <c r="ETV22" s="36"/>
      <c r="ETW22" s="36"/>
      <c r="ETX22" s="36"/>
      <c r="ETY22" s="36"/>
      <c r="ETZ22" s="36"/>
      <c r="EUA22" s="36"/>
      <c r="EUB22" s="36"/>
      <c r="EUC22" s="36"/>
      <c r="EUD22" s="36"/>
      <c r="EUE22" s="36"/>
      <c r="EUF22" s="36"/>
      <c r="EUG22" s="36"/>
      <c r="EUH22" s="36"/>
      <c r="EUI22" s="36"/>
      <c r="EUJ22" s="36"/>
      <c r="EUK22" s="36"/>
      <c r="EUL22" s="36"/>
      <c r="EUM22" s="36"/>
      <c r="EUN22" s="36"/>
      <c r="EUO22" s="36"/>
      <c r="EUP22" s="36"/>
      <c r="EUQ22" s="36"/>
      <c r="EUR22" s="36"/>
      <c r="EUS22" s="36"/>
      <c r="EUT22" s="36"/>
      <c r="EUU22" s="36"/>
      <c r="EUV22" s="36"/>
      <c r="EUW22" s="36"/>
      <c r="EUX22" s="36"/>
      <c r="EUY22" s="36"/>
      <c r="EUZ22" s="36"/>
      <c r="EVA22" s="36"/>
      <c r="EVB22" s="36"/>
      <c r="EVC22" s="36"/>
      <c r="EVD22" s="36"/>
      <c r="EVE22" s="36"/>
      <c r="EVF22" s="36"/>
      <c r="EVG22" s="36"/>
      <c r="EVH22" s="36"/>
      <c r="EVI22" s="36"/>
      <c r="EVJ22" s="36"/>
      <c r="EVK22" s="36"/>
      <c r="EVL22" s="36"/>
      <c r="EVM22" s="36"/>
      <c r="EVN22" s="36"/>
      <c r="EVO22" s="36"/>
      <c r="EVP22" s="36"/>
      <c r="EVQ22" s="36"/>
      <c r="EVR22" s="36"/>
      <c r="EVS22" s="36"/>
      <c r="EVT22" s="36"/>
      <c r="EVU22" s="36"/>
      <c r="EVV22" s="36"/>
      <c r="EVW22" s="36"/>
      <c r="EVX22" s="36"/>
      <c r="EVY22" s="36"/>
      <c r="EVZ22" s="36"/>
      <c r="EWA22" s="36"/>
      <c r="EWB22" s="36"/>
      <c r="EWC22" s="36"/>
      <c r="EWD22" s="36"/>
      <c r="EWE22" s="36"/>
      <c r="EWF22" s="36"/>
      <c r="EWG22" s="36"/>
      <c r="EWH22" s="36"/>
      <c r="EWI22" s="36"/>
      <c r="EWJ22" s="36"/>
      <c r="EWK22" s="36"/>
      <c r="EWL22" s="36"/>
      <c r="EWM22" s="36"/>
      <c r="EWN22" s="36"/>
      <c r="EWO22" s="36"/>
      <c r="EWP22" s="36"/>
      <c r="EWQ22" s="36"/>
      <c r="EWR22" s="36"/>
      <c r="EWS22" s="36"/>
      <c r="EWT22" s="36"/>
      <c r="EWU22" s="36"/>
      <c r="EWV22" s="36"/>
      <c r="EWW22" s="36"/>
      <c r="EWX22" s="36"/>
      <c r="EWY22" s="36"/>
      <c r="EWZ22" s="36"/>
      <c r="EXA22" s="36"/>
      <c r="EXB22" s="36"/>
      <c r="EXC22" s="36"/>
      <c r="EXD22" s="36"/>
      <c r="EXE22" s="36"/>
      <c r="EXF22" s="36"/>
      <c r="EXG22" s="36"/>
      <c r="EXH22" s="36"/>
      <c r="EXI22" s="36"/>
      <c r="EXJ22" s="36"/>
      <c r="EXK22" s="36"/>
      <c r="EXL22" s="36"/>
      <c r="EXM22" s="36"/>
      <c r="EXN22" s="36"/>
      <c r="EXO22" s="36"/>
      <c r="EXP22" s="36"/>
      <c r="EXQ22" s="36"/>
      <c r="EXR22" s="36"/>
      <c r="EXS22" s="36"/>
      <c r="EXT22" s="36"/>
      <c r="EXU22" s="36"/>
      <c r="EXV22" s="36"/>
      <c r="EXW22" s="36"/>
      <c r="EXX22" s="36"/>
      <c r="EXY22" s="36"/>
      <c r="EXZ22" s="36"/>
      <c r="EYA22" s="36"/>
      <c r="EYB22" s="36"/>
      <c r="EYC22" s="36"/>
      <c r="EYD22" s="36"/>
      <c r="EYE22" s="36"/>
      <c r="EYF22" s="36"/>
      <c r="EYG22" s="36"/>
      <c r="EYH22" s="36"/>
      <c r="EYI22" s="36"/>
      <c r="EYJ22" s="36"/>
      <c r="EYK22" s="36"/>
      <c r="EYL22" s="36"/>
      <c r="EYM22" s="36"/>
      <c r="EYN22" s="36"/>
      <c r="EYO22" s="36"/>
      <c r="EYP22" s="36"/>
      <c r="EYQ22" s="36"/>
      <c r="EYR22" s="36"/>
      <c r="EYS22" s="36"/>
      <c r="EYT22" s="36"/>
      <c r="EYU22" s="36"/>
      <c r="EYV22" s="36"/>
      <c r="EYW22" s="36"/>
      <c r="EYX22" s="36"/>
      <c r="EYY22" s="36"/>
      <c r="EYZ22" s="36"/>
      <c r="EZA22" s="36"/>
      <c r="EZB22" s="36"/>
      <c r="EZC22" s="36"/>
      <c r="EZD22" s="36"/>
      <c r="EZE22" s="36"/>
      <c r="EZF22" s="36"/>
      <c r="EZG22" s="36"/>
      <c r="EZH22" s="36"/>
      <c r="EZI22" s="36"/>
      <c r="EZJ22" s="36"/>
      <c r="EZK22" s="36"/>
      <c r="EZL22" s="36"/>
      <c r="EZM22" s="36"/>
      <c r="EZN22" s="36"/>
      <c r="EZO22" s="36"/>
      <c r="EZP22" s="36"/>
      <c r="EZQ22" s="36"/>
      <c r="EZR22" s="36"/>
      <c r="EZS22" s="36"/>
      <c r="EZT22" s="36"/>
      <c r="EZU22" s="36"/>
      <c r="EZV22" s="36"/>
      <c r="EZW22" s="36"/>
      <c r="EZX22" s="36"/>
      <c r="EZY22" s="36"/>
      <c r="EZZ22" s="36"/>
      <c r="FAA22" s="36"/>
      <c r="FAB22" s="36"/>
      <c r="FAC22" s="36"/>
      <c r="FAD22" s="36"/>
      <c r="FAE22" s="36"/>
      <c r="FAF22" s="36"/>
      <c r="FAG22" s="36"/>
      <c r="FAH22" s="36"/>
      <c r="FAI22" s="36"/>
      <c r="FAJ22" s="36"/>
      <c r="FAK22" s="36"/>
      <c r="FAL22" s="36"/>
      <c r="FAM22" s="36"/>
      <c r="FAN22" s="36"/>
      <c r="FAO22" s="36"/>
      <c r="FAP22" s="36"/>
      <c r="FAQ22" s="36"/>
      <c r="FAR22" s="36"/>
      <c r="FAS22" s="36"/>
      <c r="FAT22" s="36"/>
      <c r="FAU22" s="36"/>
      <c r="FAV22" s="36"/>
      <c r="FAW22" s="36"/>
      <c r="FAX22" s="36"/>
      <c r="FAY22" s="36"/>
      <c r="FAZ22" s="36"/>
      <c r="FBA22" s="36"/>
      <c r="FBB22" s="36"/>
      <c r="FBC22" s="36"/>
      <c r="FBD22" s="36"/>
      <c r="FBE22" s="36"/>
      <c r="FBF22" s="36"/>
      <c r="FBG22" s="36"/>
      <c r="FBH22" s="36"/>
      <c r="FBI22" s="36"/>
      <c r="FBJ22" s="36"/>
      <c r="FBK22" s="36"/>
      <c r="FBL22" s="36"/>
      <c r="FBM22" s="36"/>
      <c r="FBN22" s="36"/>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c r="XEN22" s="36"/>
      <c r="XEO22" s="36"/>
      <c r="XEP22" s="36"/>
      <c r="XEQ22" s="36"/>
      <c r="XER22" s="36"/>
      <c r="XES22" s="36"/>
      <c r="XET22" s="36"/>
    </row>
    <row r="23" spans="1:16374">
      <c r="A23" s="36"/>
      <c r="B23" s="36"/>
      <c r="C23" s="36"/>
      <c r="D23" s="36"/>
      <c r="E23" s="36"/>
      <c r="F23" s="193"/>
      <c r="G23" s="197"/>
      <c r="H23" s="189"/>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c r="AML23" s="36"/>
      <c r="AMM23" s="36"/>
      <c r="AMN23" s="36"/>
      <c r="AMO23" s="36"/>
      <c r="AMP23" s="36"/>
      <c r="AMQ23" s="36"/>
      <c r="AMR23" s="36"/>
      <c r="AMS23" s="36"/>
      <c r="AMT23" s="36"/>
      <c r="AMU23" s="36"/>
      <c r="AMV23" s="36"/>
      <c r="AMW23" s="36"/>
      <c r="AMX23" s="36"/>
      <c r="AMY23" s="36"/>
      <c r="AMZ23" s="36"/>
      <c r="ANA23" s="36"/>
      <c r="ANB23" s="36"/>
      <c r="ANC23" s="36"/>
      <c r="AND23" s="36"/>
      <c r="ANE23" s="36"/>
      <c r="ANF23" s="36"/>
      <c r="ANG23" s="36"/>
      <c r="ANH23" s="36"/>
      <c r="ANI23" s="36"/>
      <c r="ANJ23" s="36"/>
      <c r="ANK23" s="36"/>
      <c r="ANL23" s="36"/>
      <c r="ANM23" s="36"/>
      <c r="ANN23" s="36"/>
      <c r="ANO23" s="36"/>
      <c r="ANP23" s="36"/>
      <c r="ANQ23" s="36"/>
      <c r="ANR23" s="36"/>
      <c r="ANS23" s="36"/>
      <c r="ANT23" s="36"/>
      <c r="ANU23" s="36"/>
      <c r="ANV23" s="36"/>
      <c r="ANW23" s="36"/>
      <c r="ANX23" s="36"/>
      <c r="ANY23" s="36"/>
      <c r="ANZ23" s="36"/>
      <c r="AOA23" s="36"/>
      <c r="AOB23" s="36"/>
      <c r="AOC23" s="36"/>
      <c r="AOD23" s="36"/>
      <c r="AOE23" s="36"/>
      <c r="AOF23" s="36"/>
      <c r="AOG23" s="36"/>
      <c r="AOH23" s="36"/>
      <c r="AOI23" s="36"/>
      <c r="AOJ23" s="36"/>
      <c r="AOK23" s="36"/>
      <c r="AOL23" s="36"/>
      <c r="AOM23" s="36"/>
      <c r="AON23" s="36"/>
      <c r="AOO23" s="36"/>
      <c r="AOP23" s="36"/>
      <c r="AOQ23" s="36"/>
      <c r="AOR23" s="36"/>
      <c r="AOS23" s="36"/>
      <c r="AOT23" s="36"/>
      <c r="AOU23" s="36"/>
      <c r="AOV23" s="36"/>
      <c r="AOW23" s="36"/>
      <c r="AOX23" s="36"/>
      <c r="AOY23" s="36"/>
      <c r="AOZ23" s="36"/>
      <c r="APA23" s="36"/>
      <c r="APB23" s="36"/>
      <c r="APC23" s="36"/>
      <c r="APD23" s="36"/>
      <c r="APE23" s="36"/>
      <c r="APF23" s="36"/>
      <c r="APG23" s="36"/>
      <c r="APH23" s="36"/>
      <c r="API23" s="36"/>
      <c r="APJ23" s="36"/>
      <c r="APK23" s="36"/>
      <c r="APL23" s="36"/>
      <c r="APM23" s="36"/>
      <c r="APN23" s="36"/>
      <c r="APO23" s="36"/>
      <c r="APP23" s="36"/>
      <c r="APQ23" s="36"/>
      <c r="APR23" s="36"/>
      <c r="APS23" s="36"/>
      <c r="APT23" s="36"/>
      <c r="APU23" s="36"/>
      <c r="APV23" s="36"/>
      <c r="APW23" s="36"/>
      <c r="APX23" s="36"/>
      <c r="APY23" s="36"/>
      <c r="APZ23" s="36"/>
      <c r="AQA23" s="36"/>
      <c r="AQB23" s="36"/>
      <c r="AQC23" s="36"/>
      <c r="AQD23" s="36"/>
      <c r="AQE23" s="36"/>
      <c r="AQF23" s="36"/>
      <c r="AQG23" s="36"/>
      <c r="AQH23" s="36"/>
      <c r="AQI23" s="36"/>
      <c r="AQJ23" s="36"/>
      <c r="AQK23" s="36"/>
      <c r="AQL23" s="36"/>
      <c r="AQM23" s="36"/>
      <c r="AQN23" s="36"/>
      <c r="AQO23" s="36"/>
      <c r="AQP23" s="36"/>
      <c r="AQQ23" s="36"/>
      <c r="AQR23" s="36"/>
      <c r="AQS23" s="36"/>
      <c r="AQT23" s="36"/>
      <c r="AQU23" s="36"/>
      <c r="AQV23" s="36"/>
      <c r="AQW23" s="36"/>
      <c r="AQX23" s="36"/>
      <c r="AQY23" s="36"/>
      <c r="AQZ23" s="36"/>
      <c r="ARA23" s="36"/>
      <c r="ARB23" s="36"/>
      <c r="ARC23" s="36"/>
      <c r="ARD23" s="36"/>
      <c r="ARE23" s="36"/>
      <c r="ARF23" s="36"/>
      <c r="ARG23" s="36"/>
      <c r="ARH23" s="36"/>
      <c r="ARI23" s="36"/>
      <c r="ARJ23" s="36"/>
      <c r="ARK23" s="36"/>
      <c r="ARL23" s="36"/>
      <c r="ARM23" s="36"/>
      <c r="ARN23" s="36"/>
      <c r="ARO23" s="36"/>
      <c r="ARP23" s="36"/>
      <c r="ARQ23" s="36"/>
      <c r="ARR23" s="36"/>
      <c r="ARS23" s="36"/>
      <c r="ART23" s="36"/>
      <c r="ARU23" s="36"/>
      <c r="ARV23" s="36"/>
      <c r="ARW23" s="36"/>
      <c r="ARX23" s="36"/>
      <c r="ARY23" s="36"/>
      <c r="ARZ23" s="36"/>
      <c r="ASA23" s="36"/>
      <c r="ASB23" s="36"/>
      <c r="ASC23" s="36"/>
      <c r="ASD23" s="36"/>
      <c r="ASE23" s="36"/>
      <c r="ASF23" s="36"/>
      <c r="ASG23" s="36"/>
      <c r="ASH23" s="36"/>
      <c r="ASI23" s="36"/>
      <c r="ASJ23" s="36"/>
      <c r="ASK23" s="36"/>
      <c r="ASL23" s="36"/>
      <c r="ASM23" s="36"/>
      <c r="ASN23" s="36"/>
      <c r="ASO23" s="36"/>
      <c r="ASP23" s="36"/>
      <c r="ASQ23" s="36"/>
      <c r="ASR23" s="36"/>
      <c r="ASS23" s="36"/>
      <c r="AST23" s="36"/>
      <c r="ASU23" s="36"/>
      <c r="ASV23" s="36"/>
      <c r="ASW23" s="36"/>
      <c r="ASX23" s="36"/>
      <c r="ASY23" s="36"/>
      <c r="ASZ23" s="36"/>
      <c r="ATA23" s="36"/>
      <c r="ATB23" s="36"/>
      <c r="ATC23" s="36"/>
      <c r="ATD23" s="36"/>
      <c r="ATE23" s="36"/>
      <c r="ATF23" s="36"/>
      <c r="ATG23" s="36"/>
      <c r="ATH23" s="36"/>
      <c r="ATI23" s="36"/>
      <c r="ATJ23" s="36"/>
      <c r="ATK23" s="36"/>
      <c r="ATL23" s="36"/>
      <c r="ATM23" s="36"/>
      <c r="ATN23" s="36"/>
      <c r="ATO23" s="36"/>
      <c r="ATP23" s="36"/>
      <c r="ATQ23" s="36"/>
      <c r="ATR23" s="36"/>
      <c r="ATS23" s="36"/>
      <c r="ATT23" s="36"/>
      <c r="ATU23" s="36"/>
      <c r="ATV23" s="36"/>
      <c r="ATW23" s="36"/>
      <c r="ATX23" s="36"/>
      <c r="ATY23" s="36"/>
      <c r="ATZ23" s="36"/>
      <c r="AUA23" s="36"/>
      <c r="AUB23" s="36"/>
      <c r="AUC23" s="36"/>
      <c r="AUD23" s="36"/>
      <c r="AUE23" s="36"/>
      <c r="AUF23" s="36"/>
      <c r="AUG23" s="36"/>
      <c r="AUH23" s="36"/>
      <c r="AUI23" s="36"/>
      <c r="AUJ23" s="36"/>
      <c r="AUK23" s="36"/>
      <c r="AUL23" s="36"/>
      <c r="AUM23" s="36"/>
      <c r="AUN23" s="36"/>
      <c r="AUO23" s="36"/>
      <c r="AUP23" s="36"/>
      <c r="AUQ23" s="36"/>
      <c r="AUR23" s="36"/>
      <c r="AUS23" s="36"/>
      <c r="AUT23" s="36"/>
      <c r="AUU23" s="36"/>
      <c r="AUV23" s="36"/>
      <c r="AUW23" s="36"/>
      <c r="AUX23" s="36"/>
      <c r="AUY23" s="36"/>
      <c r="AUZ23" s="36"/>
      <c r="AVA23" s="36"/>
      <c r="AVB23" s="36"/>
      <c r="AVC23" s="36"/>
      <c r="AVD23" s="36"/>
      <c r="AVE23" s="36"/>
      <c r="AVF23" s="36"/>
      <c r="AVG23" s="36"/>
      <c r="AVH23" s="36"/>
      <c r="AVI23" s="36"/>
      <c r="AVJ23" s="36"/>
      <c r="AVK23" s="36"/>
      <c r="AVL23" s="36"/>
      <c r="AVM23" s="36"/>
      <c r="AVN23" s="36"/>
      <c r="AVO23" s="36"/>
      <c r="AVP23" s="36"/>
      <c r="AVQ23" s="36"/>
      <c r="AVR23" s="36"/>
      <c r="AVS23" s="36"/>
      <c r="AVT23" s="36"/>
      <c r="AVU23" s="36"/>
      <c r="AVV23" s="36"/>
      <c r="AVW23" s="36"/>
      <c r="AVX23" s="36"/>
      <c r="AVY23" s="36"/>
      <c r="AVZ23" s="36"/>
      <c r="AWA23" s="36"/>
      <c r="AWB23" s="36"/>
      <c r="AWC23" s="36"/>
      <c r="AWD23" s="36"/>
      <c r="AWE23" s="36"/>
      <c r="AWF23" s="36"/>
      <c r="AWG23" s="36"/>
      <c r="AWH23" s="36"/>
      <c r="AWI23" s="36"/>
      <c r="AWJ23" s="36"/>
      <c r="AWK23" s="36"/>
      <c r="AWL23" s="36"/>
      <c r="AWM23" s="36"/>
      <c r="AWN23" s="36"/>
      <c r="AWO23" s="36"/>
      <c r="AWP23" s="36"/>
      <c r="AWQ23" s="36"/>
      <c r="AWR23" s="36"/>
      <c r="AWS23" s="36"/>
      <c r="AWT23" s="36"/>
      <c r="AWU23" s="36"/>
      <c r="AWV23" s="36"/>
      <c r="AWW23" s="36"/>
      <c r="AWX23" s="36"/>
      <c r="AWY23" s="36"/>
      <c r="AWZ23" s="36"/>
      <c r="AXA23" s="36"/>
      <c r="AXB23" s="36"/>
      <c r="AXC23" s="36"/>
      <c r="AXD23" s="36"/>
      <c r="AXE23" s="36"/>
      <c r="AXF23" s="36"/>
      <c r="AXG23" s="36"/>
      <c r="AXH23" s="36"/>
      <c r="AXI23" s="36"/>
      <c r="AXJ23" s="36"/>
      <c r="AXK23" s="36"/>
      <c r="AXL23" s="36"/>
      <c r="AXM23" s="36"/>
      <c r="AXN23" s="36"/>
      <c r="AXO23" s="36"/>
      <c r="AXP23" s="36"/>
      <c r="AXQ23" s="36"/>
      <c r="AXR23" s="36"/>
      <c r="AXS23" s="36"/>
      <c r="AXT23" s="36"/>
      <c r="AXU23" s="36"/>
      <c r="AXV23" s="36"/>
      <c r="AXW23" s="36"/>
      <c r="AXX23" s="36"/>
      <c r="AXY23" s="36"/>
      <c r="AXZ23" s="36"/>
      <c r="AYA23" s="36"/>
      <c r="AYB23" s="36"/>
      <c r="AYC23" s="36"/>
      <c r="AYD23" s="36"/>
      <c r="AYE23" s="36"/>
      <c r="AYF23" s="36"/>
      <c r="AYG23" s="36"/>
      <c r="AYH23" s="36"/>
      <c r="AYI23" s="36"/>
      <c r="AYJ23" s="36"/>
      <c r="AYK23" s="36"/>
      <c r="AYL23" s="36"/>
      <c r="AYM23" s="36"/>
      <c r="AYN23" s="36"/>
      <c r="AYO23" s="36"/>
      <c r="AYP23" s="36"/>
      <c r="AYQ23" s="36"/>
      <c r="AYR23" s="36"/>
      <c r="AYS23" s="36"/>
      <c r="AYT23" s="36"/>
      <c r="AYU23" s="36"/>
      <c r="AYV23" s="36"/>
      <c r="AYW23" s="36"/>
      <c r="AYX23" s="36"/>
      <c r="AYY23" s="36"/>
      <c r="AYZ23" s="36"/>
      <c r="AZA23" s="36"/>
      <c r="AZB23" s="36"/>
      <c r="AZC23" s="36"/>
      <c r="AZD23" s="36"/>
      <c r="AZE23" s="36"/>
      <c r="AZF23" s="36"/>
      <c r="AZG23" s="36"/>
      <c r="AZH23" s="36"/>
      <c r="AZI23" s="36"/>
      <c r="AZJ23" s="36"/>
      <c r="AZK23" s="36"/>
      <c r="AZL23" s="36"/>
      <c r="AZM23" s="36"/>
      <c r="AZN23" s="36"/>
      <c r="AZO23" s="36"/>
      <c r="AZP23" s="36"/>
      <c r="AZQ23" s="36"/>
      <c r="AZR23" s="36"/>
      <c r="AZS23" s="36"/>
      <c r="AZT23" s="36"/>
      <c r="AZU23" s="36"/>
      <c r="AZV23" s="36"/>
      <c r="AZW23" s="36"/>
      <c r="AZX23" s="36"/>
      <c r="AZY23" s="36"/>
      <c r="AZZ23" s="36"/>
      <c r="BAA23" s="36"/>
      <c r="BAB23" s="36"/>
      <c r="BAC23" s="36"/>
      <c r="BAD23" s="36"/>
      <c r="BAE23" s="36"/>
      <c r="BAF23" s="36"/>
      <c r="BAG23" s="36"/>
      <c r="BAH23" s="36"/>
      <c r="BAI23" s="36"/>
      <c r="BAJ23" s="36"/>
      <c r="BAK23" s="36"/>
      <c r="BAL23" s="36"/>
      <c r="BAM23" s="36"/>
      <c r="BAN23" s="36"/>
      <c r="BAO23" s="36"/>
      <c r="BAP23" s="36"/>
      <c r="BAQ23" s="36"/>
      <c r="BAR23" s="36"/>
      <c r="BAS23" s="36"/>
      <c r="BAT23" s="36"/>
      <c r="BAU23" s="36"/>
      <c r="BAV23" s="36"/>
      <c r="BAW23" s="36"/>
      <c r="BAX23" s="36"/>
      <c r="BAY23" s="36"/>
      <c r="BAZ23" s="36"/>
      <c r="BBA23" s="36"/>
      <c r="BBB23" s="36"/>
      <c r="BBC23" s="36"/>
      <c r="BBD23" s="36"/>
      <c r="BBE23" s="36"/>
      <c r="BBF23" s="36"/>
      <c r="BBG23" s="36"/>
      <c r="BBH23" s="36"/>
      <c r="BBI23" s="36"/>
      <c r="BBJ23" s="36"/>
      <c r="BBK23" s="36"/>
      <c r="BBL23" s="36"/>
      <c r="BBM23" s="36"/>
      <c r="BBN23" s="36"/>
      <c r="BBO23" s="36"/>
      <c r="BBP23" s="36"/>
      <c r="BBQ23" s="36"/>
      <c r="BBR23" s="36"/>
      <c r="BBS23" s="36"/>
      <c r="BBT23" s="36"/>
      <c r="BBU23" s="36"/>
      <c r="BBV23" s="36"/>
      <c r="BBW23" s="36"/>
      <c r="BBX23" s="36"/>
      <c r="BBY23" s="36"/>
      <c r="BBZ23" s="36"/>
      <c r="BCA23" s="36"/>
      <c r="BCB23" s="36"/>
      <c r="BCC23" s="36"/>
      <c r="BCD23" s="36"/>
      <c r="BCE23" s="36"/>
      <c r="BCF23" s="36"/>
      <c r="BCG23" s="36"/>
      <c r="BCH23" s="36"/>
      <c r="BCI23" s="36"/>
      <c r="BCJ23" s="36"/>
      <c r="BCK23" s="36"/>
      <c r="BCL23" s="36"/>
      <c r="BCM23" s="36"/>
      <c r="BCN23" s="36"/>
      <c r="BCO23" s="36"/>
      <c r="BCP23" s="36"/>
      <c r="BCQ23" s="36"/>
      <c r="BCR23" s="36"/>
      <c r="BCS23" s="36"/>
      <c r="BCT23" s="36"/>
      <c r="BCU23" s="36"/>
      <c r="BCV23" s="36"/>
      <c r="BCW23" s="36"/>
      <c r="BCX23" s="36"/>
      <c r="BCY23" s="36"/>
      <c r="BCZ23" s="36"/>
      <c r="BDA23" s="36"/>
      <c r="BDB23" s="36"/>
      <c r="BDC23" s="36"/>
      <c r="BDD23" s="36"/>
      <c r="BDE23" s="36"/>
      <c r="BDF23" s="36"/>
      <c r="BDG23" s="36"/>
      <c r="BDH23" s="36"/>
      <c r="BDI23" s="36"/>
      <c r="BDJ23" s="36"/>
      <c r="BDK23" s="36"/>
      <c r="BDL23" s="36"/>
      <c r="BDM23" s="36"/>
      <c r="BDN23" s="36"/>
      <c r="BDO23" s="36"/>
      <c r="BDP23" s="36"/>
      <c r="BDQ23" s="36"/>
      <c r="BDR23" s="36"/>
      <c r="BDS23" s="36"/>
      <c r="BDT23" s="36"/>
      <c r="BDU23" s="36"/>
      <c r="BDV23" s="36"/>
      <c r="BDW23" s="36"/>
      <c r="BDX23" s="36"/>
      <c r="BDY23" s="36"/>
      <c r="BDZ23" s="36"/>
      <c r="BEA23" s="36"/>
      <c r="BEB23" s="36"/>
      <c r="BEC23" s="36"/>
      <c r="BED23" s="36"/>
      <c r="BEE23" s="36"/>
      <c r="BEF23" s="36"/>
      <c r="BEG23" s="36"/>
      <c r="BEH23" s="36"/>
      <c r="BEI23" s="36"/>
      <c r="BEJ23" s="36"/>
      <c r="BEK23" s="36"/>
      <c r="BEL23" s="36"/>
      <c r="BEM23" s="36"/>
      <c r="BEN23" s="36"/>
      <c r="BEO23" s="36"/>
      <c r="BEP23" s="36"/>
      <c r="BEQ23" s="36"/>
      <c r="BER23" s="36"/>
      <c r="BES23" s="36"/>
      <c r="BET23" s="36"/>
      <c r="BEU23" s="36"/>
      <c r="BEV23" s="36"/>
      <c r="BEW23" s="36"/>
      <c r="BEX23" s="36"/>
      <c r="BEY23" s="36"/>
      <c r="BEZ23" s="36"/>
      <c r="BFA23" s="36"/>
      <c r="BFB23" s="36"/>
      <c r="BFC23" s="36"/>
      <c r="BFD23" s="36"/>
      <c r="BFE23" s="36"/>
      <c r="BFF23" s="36"/>
      <c r="BFG23" s="36"/>
      <c r="BFH23" s="36"/>
      <c r="BFI23" s="36"/>
      <c r="BFJ23" s="36"/>
      <c r="BFK23" s="36"/>
      <c r="BFL23" s="36"/>
      <c r="BFM23" s="36"/>
      <c r="BFN23" s="36"/>
      <c r="BFO23" s="36"/>
      <c r="BFP23" s="36"/>
      <c r="BFQ23" s="36"/>
      <c r="BFR23" s="36"/>
      <c r="BFS23" s="36"/>
      <c r="BFT23" s="36"/>
      <c r="BFU23" s="36"/>
      <c r="BFV23" s="36"/>
      <c r="BFW23" s="36"/>
      <c r="BFX23" s="36"/>
      <c r="BFY23" s="36"/>
      <c r="BFZ23" s="36"/>
      <c r="BGA23" s="36"/>
      <c r="BGB23" s="36"/>
      <c r="BGC23" s="36"/>
      <c r="BGD23" s="36"/>
      <c r="BGE23" s="36"/>
      <c r="BGF23" s="36"/>
      <c r="BGG23" s="36"/>
      <c r="BGH23" s="36"/>
      <c r="BGI23" s="36"/>
      <c r="BGJ23" s="36"/>
      <c r="BGK23" s="36"/>
      <c r="BGL23" s="36"/>
      <c r="BGM23" s="36"/>
      <c r="BGN23" s="36"/>
      <c r="BGO23" s="36"/>
      <c r="BGP23" s="36"/>
      <c r="BGQ23" s="36"/>
      <c r="BGR23" s="36"/>
      <c r="BGS23" s="36"/>
      <c r="BGT23" s="36"/>
      <c r="BGU23" s="36"/>
      <c r="BGV23" s="36"/>
      <c r="BGW23" s="36"/>
      <c r="BGX23" s="36"/>
      <c r="BGY23" s="36"/>
      <c r="BGZ23" s="36"/>
      <c r="BHA23" s="36"/>
      <c r="BHB23" s="36"/>
      <c r="BHC23" s="36"/>
      <c r="BHD23" s="36"/>
      <c r="BHE23" s="36"/>
      <c r="BHF23" s="36"/>
      <c r="BHG23" s="36"/>
      <c r="BHH23" s="36"/>
      <c r="BHI23" s="36"/>
      <c r="BHJ23" s="36"/>
      <c r="BHK23" s="36"/>
      <c r="BHL23" s="36"/>
      <c r="BHM23" s="36"/>
      <c r="BHN23" s="36"/>
      <c r="BHO23" s="36"/>
      <c r="BHP23" s="36"/>
      <c r="BHQ23" s="36"/>
      <c r="BHR23" s="36"/>
      <c r="BHS23" s="36"/>
      <c r="BHT23" s="36"/>
      <c r="BHU23" s="36"/>
      <c r="BHV23" s="36"/>
      <c r="BHW23" s="36"/>
      <c r="BHX23" s="36"/>
      <c r="BHY23" s="36"/>
      <c r="BHZ23" s="36"/>
      <c r="BIA23" s="36"/>
      <c r="BIB23" s="36"/>
      <c r="BIC23" s="36"/>
      <c r="BID23" s="36"/>
      <c r="BIE23" s="36"/>
      <c r="BIF23" s="36"/>
      <c r="BIG23" s="36"/>
      <c r="BIH23" s="36"/>
      <c r="BII23" s="36"/>
      <c r="BIJ23" s="36"/>
      <c r="BIK23" s="36"/>
      <c r="BIL23" s="36"/>
      <c r="BIM23" s="36"/>
      <c r="BIN23" s="36"/>
      <c r="BIO23" s="36"/>
      <c r="BIP23" s="36"/>
      <c r="BIQ23" s="36"/>
      <c r="BIR23" s="36"/>
      <c r="BIS23" s="36"/>
      <c r="BIT23" s="36"/>
      <c r="BIU23" s="36"/>
      <c r="BIV23" s="36"/>
      <c r="BIW23" s="36"/>
      <c r="BIX23" s="36"/>
      <c r="BIY23" s="36"/>
      <c r="BIZ23" s="36"/>
      <c r="BJA23" s="36"/>
      <c r="BJB23" s="36"/>
      <c r="BJC23" s="36"/>
      <c r="BJD23" s="36"/>
      <c r="BJE23" s="36"/>
      <c r="BJF23" s="36"/>
      <c r="BJG23" s="36"/>
      <c r="BJH23" s="36"/>
      <c r="BJI23" s="36"/>
      <c r="BJJ23" s="36"/>
      <c r="BJK23" s="36"/>
      <c r="BJL23" s="36"/>
      <c r="BJM23" s="36"/>
      <c r="BJN23" s="36"/>
      <c r="BJO23" s="36"/>
      <c r="BJP23" s="36"/>
      <c r="BJQ23" s="36"/>
      <c r="BJR23" s="36"/>
      <c r="BJS23" s="36"/>
      <c r="BJT23" s="36"/>
      <c r="BJU23" s="36"/>
      <c r="BJV23" s="36"/>
      <c r="BJW23" s="36"/>
      <c r="BJX23" s="36"/>
      <c r="BJY23" s="36"/>
      <c r="BJZ23" s="36"/>
      <c r="BKA23" s="36"/>
      <c r="BKB23" s="36"/>
      <c r="BKC23" s="36"/>
      <c r="BKD23" s="36"/>
      <c r="BKE23" s="36"/>
      <c r="BKF23" s="36"/>
      <c r="BKG23" s="36"/>
      <c r="BKH23" s="36"/>
      <c r="BKI23" s="36"/>
      <c r="BKJ23" s="36"/>
      <c r="BKK23" s="36"/>
      <c r="BKL23" s="36"/>
      <c r="BKM23" s="36"/>
      <c r="BKN23" s="36"/>
      <c r="BKO23" s="36"/>
      <c r="BKP23" s="36"/>
      <c r="BKQ23" s="36"/>
      <c r="BKR23" s="36"/>
      <c r="BKS23" s="36"/>
      <c r="BKT23" s="36"/>
      <c r="BKU23" s="36"/>
      <c r="BKV23" s="36"/>
      <c r="BKW23" s="36"/>
      <c r="BKX23" s="36"/>
      <c r="BKY23" s="36"/>
      <c r="BKZ23" s="36"/>
      <c r="BLA23" s="36"/>
      <c r="BLB23" s="36"/>
      <c r="BLC23" s="36"/>
      <c r="BLD23" s="36"/>
      <c r="BLE23" s="36"/>
      <c r="BLF23" s="36"/>
      <c r="BLG23" s="36"/>
      <c r="BLH23" s="36"/>
      <c r="BLI23" s="36"/>
      <c r="BLJ23" s="36"/>
      <c r="BLK23" s="36"/>
      <c r="BLL23" s="36"/>
      <c r="BLM23" s="36"/>
      <c r="BLN23" s="36"/>
      <c r="BLO23" s="36"/>
      <c r="BLP23" s="36"/>
      <c r="BLQ23" s="36"/>
      <c r="BLR23" s="36"/>
      <c r="BLS23" s="36"/>
      <c r="BLT23" s="36"/>
      <c r="BLU23" s="36"/>
      <c r="BLV23" s="36"/>
      <c r="BLW23" s="36"/>
      <c r="BLX23" s="36"/>
      <c r="BLY23" s="36"/>
      <c r="BLZ23" s="36"/>
      <c r="BMA23" s="36"/>
      <c r="BMB23" s="36"/>
      <c r="BMC23" s="36"/>
      <c r="BMD23" s="36"/>
      <c r="BME23" s="36"/>
      <c r="BMF23" s="36"/>
      <c r="BMG23" s="36"/>
      <c r="BMH23" s="36"/>
      <c r="BMI23" s="36"/>
      <c r="BMJ23" s="36"/>
      <c r="BMK23" s="36"/>
      <c r="BML23" s="36"/>
      <c r="BMM23" s="36"/>
      <c r="BMN23" s="36"/>
      <c r="BMO23" s="36"/>
      <c r="BMP23" s="36"/>
      <c r="BMQ23" s="36"/>
      <c r="BMR23" s="36"/>
      <c r="BMS23" s="36"/>
      <c r="BMT23" s="36"/>
      <c r="BMU23" s="36"/>
      <c r="BMV23" s="36"/>
      <c r="BMW23" s="36"/>
      <c r="BMX23" s="36"/>
      <c r="BMY23" s="36"/>
      <c r="BMZ23" s="36"/>
      <c r="BNA23" s="36"/>
      <c r="BNB23" s="36"/>
      <c r="BNC23" s="36"/>
      <c r="BND23" s="36"/>
      <c r="BNE23" s="36"/>
      <c r="BNF23" s="36"/>
      <c r="BNG23" s="36"/>
      <c r="BNH23" s="36"/>
      <c r="BNI23" s="36"/>
      <c r="BNJ23" s="36"/>
      <c r="BNK23" s="36"/>
      <c r="BNL23" s="36"/>
      <c r="BNM23" s="36"/>
      <c r="BNN23" s="36"/>
      <c r="BNO23" s="36"/>
      <c r="BNP23" s="36"/>
      <c r="BNQ23" s="36"/>
      <c r="BNR23" s="36"/>
      <c r="BNS23" s="36"/>
      <c r="BNT23" s="36"/>
      <c r="BNU23" s="36"/>
      <c r="BNV23" s="36"/>
      <c r="BNW23" s="36"/>
      <c r="BNX23" s="36"/>
      <c r="BNY23" s="36"/>
      <c r="BNZ23" s="36"/>
      <c r="BOA23" s="36"/>
      <c r="BOB23" s="36"/>
      <c r="BOC23" s="36"/>
      <c r="BOD23" s="36"/>
      <c r="BOE23" s="36"/>
      <c r="BOF23" s="36"/>
      <c r="BOG23" s="36"/>
      <c r="BOH23" s="36"/>
      <c r="BOI23" s="36"/>
      <c r="BOJ23" s="36"/>
      <c r="BOK23" s="36"/>
      <c r="BOL23" s="36"/>
      <c r="BOM23" s="36"/>
      <c r="BON23" s="36"/>
      <c r="BOO23" s="36"/>
      <c r="BOP23" s="36"/>
      <c r="BOQ23" s="36"/>
      <c r="BOR23" s="36"/>
      <c r="BOS23" s="36"/>
      <c r="BOT23" s="36"/>
      <c r="BOU23" s="36"/>
      <c r="BOV23" s="36"/>
      <c r="BOW23" s="36"/>
      <c r="BOX23" s="36"/>
      <c r="BOY23" s="36"/>
      <c r="BOZ23" s="36"/>
      <c r="BPA23" s="36"/>
      <c r="BPB23" s="36"/>
      <c r="BPC23" s="36"/>
      <c r="BPD23" s="36"/>
      <c r="BPE23" s="36"/>
      <c r="BPF23" s="36"/>
      <c r="BPG23" s="36"/>
      <c r="BPH23" s="36"/>
      <c r="BPI23" s="36"/>
      <c r="BPJ23" s="36"/>
      <c r="BPK23" s="36"/>
      <c r="BPL23" s="36"/>
      <c r="BPM23" s="36"/>
      <c r="BPN23" s="36"/>
      <c r="BPO23" s="36"/>
      <c r="BPP23" s="36"/>
      <c r="BPQ23" s="36"/>
      <c r="BPR23" s="36"/>
      <c r="BPS23" s="36"/>
      <c r="BPT23" s="36"/>
      <c r="BPU23" s="36"/>
      <c r="BPV23" s="36"/>
      <c r="BPW23" s="36"/>
      <c r="BPX23" s="36"/>
      <c r="BPY23" s="36"/>
      <c r="BPZ23" s="36"/>
      <c r="BQA23" s="36"/>
      <c r="BQB23" s="36"/>
      <c r="BQC23" s="36"/>
      <c r="BQD23" s="36"/>
      <c r="BQE23" s="36"/>
      <c r="BQF23" s="36"/>
      <c r="BQG23" s="36"/>
      <c r="BQH23" s="36"/>
      <c r="BQI23" s="36"/>
      <c r="BQJ23" s="36"/>
      <c r="BQK23" s="36"/>
      <c r="BQL23" s="36"/>
      <c r="BQM23" s="36"/>
      <c r="BQN23" s="36"/>
      <c r="BQO23" s="36"/>
      <c r="BQP23" s="36"/>
      <c r="BQQ23" s="36"/>
      <c r="BQR23" s="36"/>
      <c r="BQS23" s="36"/>
      <c r="BQT23" s="36"/>
      <c r="BQU23" s="36"/>
      <c r="BQV23" s="36"/>
      <c r="BQW23" s="36"/>
      <c r="BQX23" s="36"/>
      <c r="BQY23" s="36"/>
      <c r="BQZ23" s="36"/>
      <c r="BRA23" s="36"/>
      <c r="BRB23" s="36"/>
      <c r="BRC23" s="36"/>
      <c r="BRD23" s="36"/>
      <c r="BRE23" s="36"/>
      <c r="BRF23" s="36"/>
      <c r="BRG23" s="36"/>
      <c r="BRH23" s="36"/>
      <c r="BRI23" s="36"/>
      <c r="BRJ23" s="36"/>
      <c r="BRK23" s="36"/>
      <c r="BRL23" s="36"/>
      <c r="BRM23" s="36"/>
      <c r="BRN23" s="36"/>
      <c r="BRO23" s="36"/>
      <c r="BRP23" s="36"/>
      <c r="BRQ23" s="36"/>
      <c r="BRR23" s="36"/>
      <c r="BRS23" s="36"/>
      <c r="BRT23" s="36"/>
      <c r="BRU23" s="36"/>
      <c r="BRV23" s="36"/>
      <c r="BRW23" s="36"/>
      <c r="BRX23" s="36"/>
      <c r="BRY23" s="36"/>
      <c r="BRZ23" s="36"/>
      <c r="BSA23" s="36"/>
      <c r="BSB23" s="36"/>
      <c r="BSC23" s="36"/>
      <c r="BSD23" s="36"/>
      <c r="BSE23" s="36"/>
      <c r="BSF23" s="36"/>
      <c r="BSG23" s="36"/>
      <c r="BSH23" s="36"/>
      <c r="BSI23" s="36"/>
      <c r="BSJ23" s="36"/>
      <c r="BSK23" s="36"/>
      <c r="BSL23" s="36"/>
      <c r="BSM23" s="36"/>
      <c r="BSN23" s="36"/>
      <c r="BSO23" s="36"/>
      <c r="BSP23" s="36"/>
      <c r="BSQ23" s="36"/>
      <c r="BSR23" s="36"/>
      <c r="BSS23" s="36"/>
      <c r="BST23" s="36"/>
      <c r="BSU23" s="36"/>
      <c r="BSV23" s="36"/>
      <c r="BSW23" s="36"/>
      <c r="BSX23" s="36"/>
      <c r="BSY23" s="36"/>
      <c r="BSZ23" s="36"/>
      <c r="BTA23" s="36"/>
      <c r="BTB23" s="36"/>
      <c r="BTC23" s="36"/>
      <c r="BTD23" s="36"/>
      <c r="BTE23" s="36"/>
      <c r="BTF23" s="36"/>
      <c r="BTG23" s="36"/>
      <c r="BTH23" s="36"/>
      <c r="BTI23" s="36"/>
      <c r="BTJ23" s="36"/>
      <c r="BTK23" s="36"/>
      <c r="BTL23" s="36"/>
      <c r="BTM23" s="36"/>
      <c r="BTN23" s="36"/>
      <c r="BTO23" s="36"/>
      <c r="BTP23" s="36"/>
      <c r="BTQ23" s="36"/>
      <c r="BTR23" s="36"/>
      <c r="BTS23" s="36"/>
      <c r="BTT23" s="36"/>
      <c r="BTU23" s="36"/>
      <c r="BTV23" s="36"/>
      <c r="BTW23" s="36"/>
      <c r="BTX23" s="36"/>
      <c r="BTY23" s="36"/>
      <c r="BTZ23" s="36"/>
      <c r="BUA23" s="36"/>
      <c r="BUB23" s="36"/>
      <c r="BUC23" s="36"/>
      <c r="BUD23" s="36"/>
      <c r="BUE23" s="36"/>
      <c r="BUF23" s="36"/>
      <c r="BUG23" s="36"/>
      <c r="BUH23" s="36"/>
      <c r="BUI23" s="36"/>
      <c r="BUJ23" s="36"/>
      <c r="BUK23" s="36"/>
      <c r="BUL23" s="36"/>
      <c r="BUM23" s="36"/>
      <c r="BUN23" s="36"/>
      <c r="BUO23" s="36"/>
      <c r="BUP23" s="36"/>
      <c r="BUQ23" s="36"/>
      <c r="BUR23" s="36"/>
      <c r="BUS23" s="36"/>
      <c r="BUT23" s="36"/>
      <c r="BUU23" s="36"/>
      <c r="BUV23" s="36"/>
      <c r="BUW23" s="36"/>
      <c r="BUX23" s="36"/>
      <c r="BUY23" s="36"/>
      <c r="BUZ23" s="36"/>
      <c r="BVA23" s="36"/>
      <c r="BVB23" s="36"/>
      <c r="BVC23" s="36"/>
      <c r="BVD23" s="36"/>
      <c r="BVE23" s="36"/>
      <c r="BVF23" s="36"/>
      <c r="BVG23" s="36"/>
      <c r="BVH23" s="36"/>
      <c r="BVI23" s="36"/>
      <c r="BVJ23" s="36"/>
      <c r="BVK23" s="36"/>
      <c r="BVL23" s="36"/>
      <c r="BVM23" s="36"/>
      <c r="BVN23" s="36"/>
      <c r="BVO23" s="36"/>
      <c r="BVP23" s="36"/>
      <c r="BVQ23" s="36"/>
      <c r="BVR23" s="36"/>
      <c r="BVS23" s="36"/>
      <c r="BVT23" s="36"/>
      <c r="BVU23" s="36"/>
      <c r="BVV23" s="36"/>
      <c r="BVW23" s="36"/>
      <c r="BVX23" s="36"/>
      <c r="BVY23" s="36"/>
      <c r="BVZ23" s="36"/>
      <c r="BWA23" s="36"/>
      <c r="BWB23" s="36"/>
      <c r="BWC23" s="36"/>
      <c r="BWD23" s="36"/>
      <c r="BWE23" s="36"/>
      <c r="BWF23" s="36"/>
      <c r="BWG23" s="36"/>
      <c r="BWH23" s="36"/>
      <c r="BWI23" s="36"/>
      <c r="BWJ23" s="36"/>
      <c r="BWK23" s="36"/>
      <c r="BWL23" s="36"/>
      <c r="BWM23" s="36"/>
      <c r="BWN23" s="36"/>
      <c r="BWO23" s="36"/>
      <c r="BWP23" s="36"/>
      <c r="BWQ23" s="36"/>
      <c r="BWR23" s="36"/>
      <c r="BWS23" s="36"/>
      <c r="BWT23" s="36"/>
      <c r="BWU23" s="36"/>
      <c r="BWV23" s="36"/>
      <c r="BWW23" s="36"/>
      <c r="BWX23" s="36"/>
      <c r="BWY23" s="36"/>
      <c r="BWZ23" s="36"/>
      <c r="BXA23" s="36"/>
      <c r="BXB23" s="36"/>
      <c r="BXC23" s="36"/>
      <c r="BXD23" s="36"/>
      <c r="BXE23" s="36"/>
      <c r="BXF23" s="36"/>
      <c r="BXG23" s="36"/>
      <c r="BXH23" s="36"/>
      <c r="BXI23" s="36"/>
      <c r="BXJ23" s="36"/>
      <c r="BXK23" s="36"/>
      <c r="BXL23" s="36"/>
      <c r="BXM23" s="36"/>
      <c r="BXN23" s="36"/>
      <c r="BXO23" s="36"/>
      <c r="BXP23" s="36"/>
      <c r="BXQ23" s="36"/>
      <c r="BXR23" s="36"/>
      <c r="BXS23" s="36"/>
      <c r="BXT23" s="36"/>
      <c r="BXU23" s="36"/>
      <c r="BXV23" s="36"/>
      <c r="BXW23" s="36"/>
      <c r="BXX23" s="36"/>
      <c r="BXY23" s="36"/>
      <c r="BXZ23" s="36"/>
      <c r="BYA23" s="36"/>
      <c r="BYB23" s="36"/>
      <c r="BYC23" s="36"/>
      <c r="BYD23" s="36"/>
      <c r="BYE23" s="36"/>
      <c r="BYF23" s="36"/>
      <c r="BYG23" s="36"/>
      <c r="BYH23" s="36"/>
      <c r="BYI23" s="36"/>
      <c r="BYJ23" s="36"/>
      <c r="BYK23" s="36"/>
      <c r="BYL23" s="36"/>
      <c r="BYM23" s="36"/>
      <c r="BYN23" s="36"/>
      <c r="BYO23" s="36"/>
      <c r="BYP23" s="36"/>
      <c r="BYQ23" s="36"/>
      <c r="BYR23" s="36"/>
      <c r="BYS23" s="36"/>
      <c r="BYT23" s="36"/>
      <c r="BYU23" s="36"/>
      <c r="BYV23" s="36"/>
      <c r="BYW23" s="36"/>
      <c r="BYX23" s="36"/>
      <c r="BYY23" s="36"/>
      <c r="BYZ23" s="36"/>
      <c r="BZA23" s="36"/>
      <c r="BZB23" s="36"/>
      <c r="BZC23" s="36"/>
      <c r="BZD23" s="36"/>
      <c r="BZE23" s="36"/>
      <c r="BZF23" s="36"/>
      <c r="BZG23" s="36"/>
      <c r="BZH23" s="36"/>
      <c r="BZI23" s="36"/>
      <c r="BZJ23" s="36"/>
      <c r="BZK23" s="36"/>
      <c r="BZL23" s="36"/>
      <c r="BZM23" s="36"/>
      <c r="BZN23" s="36"/>
      <c r="BZO23" s="36"/>
      <c r="BZP23" s="36"/>
      <c r="BZQ23" s="36"/>
      <c r="BZR23" s="36"/>
      <c r="BZS23" s="36"/>
      <c r="BZT23" s="36"/>
      <c r="BZU23" s="36"/>
      <c r="BZV23" s="36"/>
      <c r="BZW23" s="36"/>
      <c r="BZX23" s="36"/>
      <c r="BZY23" s="36"/>
      <c r="BZZ23" s="36"/>
      <c r="CAA23" s="36"/>
      <c r="CAB23" s="36"/>
      <c r="CAC23" s="36"/>
      <c r="CAD23" s="36"/>
      <c r="CAE23" s="36"/>
      <c r="CAF23" s="36"/>
      <c r="CAG23" s="36"/>
      <c r="CAH23" s="36"/>
      <c r="CAI23" s="36"/>
      <c r="CAJ23" s="36"/>
      <c r="CAK23" s="36"/>
      <c r="CAL23" s="36"/>
      <c r="CAM23" s="36"/>
      <c r="CAN23" s="36"/>
      <c r="CAO23" s="36"/>
      <c r="CAP23" s="36"/>
      <c r="CAQ23" s="36"/>
      <c r="CAR23" s="36"/>
      <c r="CAS23" s="36"/>
      <c r="CAT23" s="36"/>
      <c r="CAU23" s="36"/>
      <c r="CAV23" s="36"/>
      <c r="CAW23" s="36"/>
      <c r="CAX23" s="36"/>
      <c r="CAY23" s="36"/>
      <c r="CAZ23" s="36"/>
      <c r="CBA23" s="36"/>
      <c r="CBB23" s="36"/>
      <c r="CBC23" s="36"/>
      <c r="CBD23" s="36"/>
      <c r="CBE23" s="36"/>
      <c r="CBF23" s="36"/>
      <c r="CBG23" s="36"/>
      <c r="CBH23" s="36"/>
      <c r="CBI23" s="36"/>
      <c r="CBJ23" s="36"/>
      <c r="CBK23" s="36"/>
      <c r="CBL23" s="36"/>
      <c r="CBM23" s="36"/>
      <c r="CBN23" s="36"/>
      <c r="CBO23" s="36"/>
      <c r="CBP23" s="36"/>
      <c r="CBQ23" s="36"/>
      <c r="CBR23" s="36"/>
      <c r="CBS23" s="36"/>
      <c r="CBT23" s="36"/>
      <c r="CBU23" s="36"/>
      <c r="CBV23" s="36"/>
      <c r="CBW23" s="36"/>
      <c r="CBX23" s="36"/>
      <c r="CBY23" s="36"/>
      <c r="CBZ23" s="36"/>
      <c r="CCA23" s="36"/>
      <c r="CCB23" s="36"/>
      <c r="CCC23" s="36"/>
      <c r="CCD23" s="36"/>
      <c r="CCE23" s="36"/>
      <c r="CCF23" s="36"/>
      <c r="CCG23" s="36"/>
      <c r="CCH23" s="36"/>
      <c r="CCI23" s="36"/>
      <c r="CCJ23" s="36"/>
      <c r="CCK23" s="36"/>
      <c r="CCL23" s="36"/>
      <c r="CCM23" s="36"/>
      <c r="CCN23" s="36"/>
      <c r="CCO23" s="36"/>
      <c r="CCP23" s="36"/>
      <c r="CCQ23" s="36"/>
      <c r="CCR23" s="36"/>
      <c r="CCS23" s="36"/>
      <c r="CCT23" s="36"/>
      <c r="CCU23" s="36"/>
      <c r="CCV23" s="36"/>
      <c r="CCW23" s="36"/>
      <c r="CCX23" s="36"/>
      <c r="CCY23" s="36"/>
      <c r="CCZ23" s="36"/>
      <c r="CDA23" s="36"/>
      <c r="CDB23" s="36"/>
      <c r="CDC23" s="36"/>
      <c r="CDD23" s="36"/>
      <c r="CDE23" s="36"/>
      <c r="CDF23" s="36"/>
      <c r="CDG23" s="36"/>
      <c r="CDH23" s="36"/>
      <c r="CDI23" s="36"/>
      <c r="CDJ23" s="36"/>
      <c r="CDK23" s="36"/>
      <c r="CDL23" s="36"/>
      <c r="CDM23" s="36"/>
      <c r="CDN23" s="36"/>
      <c r="CDO23" s="36"/>
      <c r="CDP23" s="36"/>
      <c r="CDQ23" s="36"/>
      <c r="CDR23" s="36"/>
      <c r="CDS23" s="36"/>
      <c r="CDT23" s="36"/>
      <c r="CDU23" s="36"/>
      <c r="CDV23" s="36"/>
      <c r="CDW23" s="36"/>
      <c r="CDX23" s="36"/>
      <c r="CDY23" s="36"/>
      <c r="CDZ23" s="36"/>
      <c r="CEA23" s="36"/>
      <c r="CEB23" s="36"/>
      <c r="CEC23" s="36"/>
      <c r="CED23" s="36"/>
      <c r="CEE23" s="36"/>
      <c r="CEF23" s="36"/>
      <c r="CEG23" s="36"/>
      <c r="CEH23" s="36"/>
      <c r="CEI23" s="36"/>
      <c r="CEJ23" s="36"/>
      <c r="CEK23" s="36"/>
      <c r="CEL23" s="36"/>
      <c r="CEM23" s="36"/>
      <c r="CEN23" s="36"/>
      <c r="CEO23" s="36"/>
      <c r="CEP23" s="36"/>
      <c r="CEQ23" s="36"/>
      <c r="CER23" s="36"/>
      <c r="CES23" s="36"/>
      <c r="CET23" s="36"/>
      <c r="CEU23" s="36"/>
      <c r="CEV23" s="36"/>
      <c r="CEW23" s="36"/>
      <c r="CEX23" s="36"/>
      <c r="CEY23" s="36"/>
      <c r="CEZ23" s="36"/>
      <c r="CFA23" s="36"/>
      <c r="CFB23" s="36"/>
      <c r="CFC23" s="36"/>
      <c r="CFD23" s="36"/>
      <c r="CFE23" s="36"/>
      <c r="CFF23" s="36"/>
      <c r="CFG23" s="36"/>
      <c r="CFH23" s="36"/>
      <c r="CFI23" s="36"/>
      <c r="CFJ23" s="36"/>
      <c r="CFK23" s="36"/>
      <c r="CFL23" s="36"/>
      <c r="CFM23" s="36"/>
      <c r="CFN23" s="36"/>
      <c r="CFO23" s="36"/>
      <c r="CFP23" s="36"/>
      <c r="CFQ23" s="36"/>
      <c r="CFR23" s="36"/>
      <c r="CFS23" s="36"/>
      <c r="CFT23" s="36"/>
      <c r="CFU23" s="36"/>
      <c r="CFV23" s="36"/>
      <c r="CFW23" s="36"/>
      <c r="CFX23" s="36"/>
      <c r="CFY23" s="36"/>
      <c r="CFZ23" s="36"/>
      <c r="CGA23" s="36"/>
      <c r="CGB23" s="36"/>
      <c r="CGC23" s="36"/>
      <c r="CGD23" s="36"/>
      <c r="CGE23" s="36"/>
      <c r="CGF23" s="36"/>
      <c r="CGG23" s="36"/>
      <c r="CGH23" s="36"/>
      <c r="CGI23" s="36"/>
      <c r="CGJ23" s="36"/>
      <c r="CGK23" s="36"/>
      <c r="CGL23" s="36"/>
      <c r="CGM23" s="36"/>
      <c r="CGN23" s="36"/>
      <c r="CGO23" s="36"/>
      <c r="CGP23" s="36"/>
      <c r="CGQ23" s="36"/>
      <c r="CGR23" s="36"/>
      <c r="CGS23" s="36"/>
      <c r="CGT23" s="36"/>
      <c r="CGU23" s="36"/>
      <c r="CGV23" s="36"/>
      <c r="CGW23" s="36"/>
      <c r="CGX23" s="36"/>
      <c r="CGY23" s="36"/>
      <c r="CGZ23" s="36"/>
      <c r="CHA23" s="36"/>
      <c r="CHB23" s="36"/>
      <c r="CHC23" s="36"/>
      <c r="CHD23" s="36"/>
      <c r="CHE23" s="36"/>
      <c r="CHF23" s="36"/>
      <c r="CHG23" s="36"/>
      <c r="CHH23" s="36"/>
      <c r="CHI23" s="36"/>
      <c r="CHJ23" s="36"/>
      <c r="CHK23" s="36"/>
      <c r="CHL23" s="36"/>
      <c r="CHM23" s="36"/>
      <c r="CHN23" s="36"/>
      <c r="CHO23" s="36"/>
      <c r="CHP23" s="36"/>
      <c r="CHQ23" s="36"/>
      <c r="CHR23" s="36"/>
      <c r="CHS23" s="36"/>
      <c r="CHT23" s="36"/>
      <c r="CHU23" s="36"/>
      <c r="CHV23" s="36"/>
      <c r="CHW23" s="36"/>
      <c r="CHX23" s="36"/>
      <c r="CHY23" s="36"/>
      <c r="CHZ23" s="36"/>
      <c r="CIA23" s="36"/>
      <c r="CIB23" s="36"/>
      <c r="CIC23" s="36"/>
      <c r="CID23" s="36"/>
      <c r="CIE23" s="36"/>
      <c r="CIF23" s="36"/>
      <c r="CIG23" s="36"/>
      <c r="CIH23" s="36"/>
      <c r="CII23" s="36"/>
      <c r="CIJ23" s="36"/>
      <c r="CIK23" s="36"/>
      <c r="CIL23" s="36"/>
      <c r="CIM23" s="36"/>
      <c r="CIN23" s="36"/>
      <c r="CIO23" s="36"/>
      <c r="CIP23" s="36"/>
      <c r="CIQ23" s="36"/>
      <c r="CIR23" s="36"/>
      <c r="CIS23" s="36"/>
      <c r="CIT23" s="36"/>
      <c r="CIU23" s="36"/>
      <c r="CIV23" s="36"/>
      <c r="CIW23" s="36"/>
      <c r="CIX23" s="36"/>
      <c r="CIY23" s="36"/>
      <c r="CIZ23" s="36"/>
      <c r="CJA23" s="36"/>
      <c r="CJB23" s="36"/>
      <c r="CJC23" s="36"/>
      <c r="CJD23" s="36"/>
      <c r="CJE23" s="36"/>
      <c r="CJF23" s="36"/>
      <c r="CJG23" s="36"/>
      <c r="CJH23" s="36"/>
      <c r="CJI23" s="36"/>
      <c r="CJJ23" s="36"/>
      <c r="CJK23" s="36"/>
      <c r="CJL23" s="36"/>
      <c r="CJM23" s="36"/>
      <c r="CJN23" s="36"/>
      <c r="CJO23" s="36"/>
      <c r="CJP23" s="36"/>
      <c r="CJQ23" s="36"/>
      <c r="CJR23" s="36"/>
      <c r="CJS23" s="36"/>
      <c r="CJT23" s="36"/>
      <c r="CJU23" s="36"/>
      <c r="CJV23" s="36"/>
      <c r="CJW23" s="36"/>
      <c r="CJX23" s="36"/>
      <c r="CJY23" s="36"/>
      <c r="CJZ23" s="36"/>
      <c r="CKA23" s="36"/>
      <c r="CKB23" s="36"/>
      <c r="CKC23" s="36"/>
      <c r="CKD23" s="36"/>
      <c r="CKE23" s="36"/>
      <c r="CKF23" s="36"/>
      <c r="CKG23" s="36"/>
      <c r="CKH23" s="36"/>
      <c r="CKI23" s="36"/>
      <c r="CKJ23" s="36"/>
      <c r="CKK23" s="36"/>
      <c r="CKL23" s="36"/>
      <c r="CKM23" s="36"/>
      <c r="CKN23" s="36"/>
      <c r="CKO23" s="36"/>
      <c r="CKP23" s="36"/>
      <c r="CKQ23" s="36"/>
      <c r="CKR23" s="36"/>
      <c r="CKS23" s="36"/>
      <c r="CKT23" s="36"/>
      <c r="CKU23" s="36"/>
      <c r="CKV23" s="36"/>
      <c r="CKW23" s="36"/>
      <c r="CKX23" s="36"/>
      <c r="CKY23" s="36"/>
      <c r="CKZ23" s="36"/>
      <c r="CLA23" s="36"/>
      <c r="CLB23" s="36"/>
      <c r="CLC23" s="36"/>
      <c r="CLD23" s="36"/>
      <c r="CLE23" s="36"/>
      <c r="CLF23" s="36"/>
      <c r="CLG23" s="36"/>
      <c r="CLH23" s="36"/>
      <c r="CLI23" s="36"/>
      <c r="CLJ23" s="36"/>
      <c r="CLK23" s="36"/>
      <c r="CLL23" s="36"/>
      <c r="CLM23" s="36"/>
      <c r="CLN23" s="36"/>
      <c r="CLO23" s="36"/>
      <c r="CLP23" s="36"/>
      <c r="CLQ23" s="36"/>
      <c r="CLR23" s="36"/>
      <c r="CLS23" s="36"/>
      <c r="CLT23" s="36"/>
      <c r="CLU23" s="36"/>
      <c r="CLV23" s="36"/>
      <c r="CLW23" s="36"/>
      <c r="CLX23" s="36"/>
      <c r="CLY23" s="36"/>
      <c r="CLZ23" s="36"/>
      <c r="CMA23" s="36"/>
      <c r="CMB23" s="36"/>
      <c r="CMC23" s="36"/>
      <c r="CMD23" s="36"/>
      <c r="CME23" s="36"/>
      <c r="CMF23" s="36"/>
      <c r="CMG23" s="36"/>
      <c r="CMH23" s="36"/>
      <c r="CMI23" s="36"/>
      <c r="CMJ23" s="36"/>
      <c r="CMK23" s="36"/>
      <c r="CML23" s="36"/>
      <c r="CMM23" s="36"/>
      <c r="CMN23" s="36"/>
      <c r="CMO23" s="36"/>
      <c r="CMP23" s="36"/>
      <c r="CMQ23" s="36"/>
      <c r="CMR23" s="36"/>
      <c r="CMS23" s="36"/>
      <c r="CMT23" s="36"/>
      <c r="CMU23" s="36"/>
      <c r="CMV23" s="36"/>
      <c r="CMW23" s="36"/>
      <c r="CMX23" s="36"/>
      <c r="CMY23" s="36"/>
      <c r="CMZ23" s="36"/>
      <c r="CNA23" s="36"/>
      <c r="CNB23" s="36"/>
      <c r="CNC23" s="36"/>
      <c r="CND23" s="36"/>
      <c r="CNE23" s="36"/>
      <c r="CNF23" s="36"/>
      <c r="CNG23" s="36"/>
      <c r="CNH23" s="36"/>
      <c r="CNI23" s="36"/>
      <c r="CNJ23" s="36"/>
      <c r="CNK23" s="36"/>
      <c r="CNL23" s="36"/>
      <c r="CNM23" s="36"/>
      <c r="CNN23" s="36"/>
      <c r="CNO23" s="36"/>
      <c r="CNP23" s="36"/>
      <c r="CNQ23" s="36"/>
      <c r="CNR23" s="36"/>
      <c r="CNS23" s="36"/>
      <c r="CNT23" s="36"/>
      <c r="CNU23" s="36"/>
      <c r="CNV23" s="36"/>
      <c r="CNW23" s="36"/>
      <c r="CNX23" s="36"/>
      <c r="CNY23" s="36"/>
      <c r="CNZ23" s="36"/>
      <c r="COA23" s="36"/>
      <c r="COB23" s="36"/>
      <c r="COC23" s="36"/>
      <c r="COD23" s="36"/>
      <c r="COE23" s="36"/>
      <c r="COF23" s="36"/>
      <c r="COG23" s="36"/>
      <c r="COH23" s="36"/>
      <c r="COI23" s="36"/>
      <c r="COJ23" s="36"/>
      <c r="COK23" s="36"/>
      <c r="COL23" s="36"/>
      <c r="COM23" s="36"/>
      <c r="CON23" s="36"/>
      <c r="COO23" s="36"/>
      <c r="COP23" s="36"/>
      <c r="COQ23" s="36"/>
      <c r="COR23" s="36"/>
      <c r="COS23" s="36"/>
      <c r="COT23" s="36"/>
      <c r="COU23" s="36"/>
      <c r="COV23" s="36"/>
      <c r="COW23" s="36"/>
      <c r="COX23" s="36"/>
      <c r="COY23" s="36"/>
      <c r="COZ23" s="36"/>
      <c r="CPA23" s="36"/>
      <c r="CPB23" s="36"/>
      <c r="CPC23" s="36"/>
      <c r="CPD23" s="36"/>
      <c r="CPE23" s="36"/>
      <c r="CPF23" s="36"/>
      <c r="CPG23" s="36"/>
      <c r="CPH23" s="36"/>
      <c r="CPI23" s="36"/>
      <c r="CPJ23" s="36"/>
      <c r="CPK23" s="36"/>
      <c r="CPL23" s="36"/>
      <c r="CPM23" s="36"/>
      <c r="CPN23" s="36"/>
      <c r="CPO23" s="36"/>
      <c r="CPP23" s="36"/>
      <c r="CPQ23" s="36"/>
      <c r="CPR23" s="36"/>
      <c r="CPS23" s="36"/>
      <c r="CPT23" s="36"/>
      <c r="CPU23" s="36"/>
      <c r="CPV23" s="36"/>
      <c r="CPW23" s="36"/>
      <c r="CPX23" s="36"/>
      <c r="CPY23" s="36"/>
      <c r="CPZ23" s="36"/>
      <c r="CQA23" s="36"/>
      <c r="CQB23" s="36"/>
      <c r="CQC23" s="36"/>
      <c r="CQD23" s="36"/>
      <c r="CQE23" s="36"/>
      <c r="CQF23" s="36"/>
      <c r="CQG23" s="36"/>
      <c r="CQH23" s="36"/>
      <c r="CQI23" s="36"/>
      <c r="CQJ23" s="36"/>
      <c r="CQK23" s="36"/>
      <c r="CQL23" s="36"/>
      <c r="CQM23" s="36"/>
      <c r="CQN23" s="36"/>
      <c r="CQO23" s="36"/>
      <c r="CQP23" s="36"/>
      <c r="CQQ23" s="36"/>
      <c r="CQR23" s="36"/>
      <c r="CQS23" s="36"/>
      <c r="CQT23" s="36"/>
      <c r="CQU23" s="36"/>
      <c r="CQV23" s="36"/>
      <c r="CQW23" s="36"/>
      <c r="CQX23" s="36"/>
      <c r="CQY23" s="36"/>
      <c r="CQZ23" s="36"/>
      <c r="CRA23" s="36"/>
      <c r="CRB23" s="36"/>
      <c r="CRC23" s="36"/>
      <c r="CRD23" s="36"/>
      <c r="CRE23" s="36"/>
      <c r="CRF23" s="36"/>
      <c r="CRG23" s="36"/>
      <c r="CRH23" s="36"/>
      <c r="CRI23" s="36"/>
      <c r="CRJ23" s="36"/>
      <c r="CRK23" s="36"/>
      <c r="CRL23" s="36"/>
      <c r="CRM23" s="36"/>
      <c r="CRN23" s="36"/>
      <c r="CRO23" s="36"/>
      <c r="CRP23" s="36"/>
      <c r="CRQ23" s="36"/>
      <c r="CRR23" s="36"/>
      <c r="CRS23" s="36"/>
      <c r="CRT23" s="36"/>
      <c r="CRU23" s="36"/>
      <c r="CRV23" s="36"/>
      <c r="CRW23" s="36"/>
      <c r="CRX23" s="36"/>
      <c r="CRY23" s="36"/>
      <c r="CRZ23" s="36"/>
      <c r="CSA23" s="36"/>
      <c r="CSB23" s="36"/>
      <c r="CSC23" s="36"/>
      <c r="CSD23" s="36"/>
      <c r="CSE23" s="36"/>
      <c r="CSF23" s="36"/>
      <c r="CSG23" s="36"/>
      <c r="CSH23" s="36"/>
      <c r="CSI23" s="36"/>
      <c r="CSJ23" s="36"/>
      <c r="CSK23" s="36"/>
      <c r="CSL23" s="36"/>
      <c r="CSM23" s="36"/>
      <c r="CSN23" s="36"/>
      <c r="CSO23" s="36"/>
      <c r="CSP23" s="36"/>
      <c r="CSQ23" s="36"/>
      <c r="CSR23" s="36"/>
      <c r="CSS23" s="36"/>
      <c r="CST23" s="36"/>
      <c r="CSU23" s="36"/>
      <c r="CSV23" s="36"/>
      <c r="CSW23" s="36"/>
      <c r="CSX23" s="36"/>
      <c r="CSY23" s="36"/>
      <c r="CSZ23" s="36"/>
      <c r="CTA23" s="36"/>
      <c r="CTB23" s="36"/>
      <c r="CTC23" s="36"/>
      <c r="CTD23" s="36"/>
      <c r="CTE23" s="36"/>
      <c r="CTF23" s="36"/>
      <c r="CTG23" s="36"/>
      <c r="CTH23" s="36"/>
      <c r="CTI23" s="36"/>
      <c r="CTJ23" s="36"/>
      <c r="CTK23" s="36"/>
      <c r="CTL23" s="36"/>
      <c r="CTM23" s="36"/>
      <c r="CTN23" s="36"/>
      <c r="CTO23" s="36"/>
      <c r="CTP23" s="36"/>
      <c r="CTQ23" s="36"/>
      <c r="CTR23" s="36"/>
      <c r="CTS23" s="36"/>
      <c r="CTT23" s="36"/>
      <c r="CTU23" s="36"/>
      <c r="CTV23" s="36"/>
      <c r="CTW23" s="36"/>
      <c r="CTX23" s="36"/>
      <c r="CTY23" s="36"/>
      <c r="CTZ23" s="36"/>
      <c r="CUA23" s="36"/>
      <c r="CUB23" s="36"/>
      <c r="CUC23" s="36"/>
      <c r="CUD23" s="36"/>
      <c r="CUE23" s="36"/>
      <c r="CUF23" s="36"/>
      <c r="CUG23" s="36"/>
      <c r="CUH23" s="36"/>
      <c r="CUI23" s="36"/>
      <c r="CUJ23" s="36"/>
      <c r="CUK23" s="36"/>
      <c r="CUL23" s="36"/>
      <c r="CUM23" s="36"/>
      <c r="CUN23" s="36"/>
      <c r="CUO23" s="36"/>
      <c r="CUP23" s="36"/>
      <c r="CUQ23" s="36"/>
      <c r="CUR23" s="36"/>
      <c r="CUS23" s="36"/>
      <c r="CUT23" s="36"/>
      <c r="CUU23" s="36"/>
      <c r="CUV23" s="36"/>
      <c r="CUW23" s="36"/>
      <c r="CUX23" s="36"/>
      <c r="CUY23" s="36"/>
      <c r="CUZ23" s="36"/>
      <c r="CVA23" s="36"/>
      <c r="CVB23" s="36"/>
      <c r="CVC23" s="36"/>
      <c r="CVD23" s="36"/>
      <c r="CVE23" s="36"/>
      <c r="CVF23" s="36"/>
      <c r="CVG23" s="36"/>
      <c r="CVH23" s="36"/>
      <c r="CVI23" s="36"/>
      <c r="CVJ23" s="36"/>
      <c r="CVK23" s="36"/>
      <c r="CVL23" s="36"/>
      <c r="CVM23" s="36"/>
      <c r="CVN23" s="36"/>
      <c r="CVO23" s="36"/>
      <c r="CVP23" s="36"/>
      <c r="CVQ23" s="36"/>
      <c r="CVR23" s="36"/>
      <c r="CVS23" s="36"/>
      <c r="CVT23" s="36"/>
      <c r="CVU23" s="36"/>
      <c r="CVV23" s="36"/>
      <c r="CVW23" s="36"/>
      <c r="CVX23" s="36"/>
      <c r="CVY23" s="36"/>
      <c r="CVZ23" s="36"/>
      <c r="CWA23" s="36"/>
      <c r="CWB23" s="36"/>
      <c r="CWC23" s="36"/>
      <c r="CWD23" s="36"/>
      <c r="CWE23" s="36"/>
      <c r="CWF23" s="36"/>
      <c r="CWG23" s="36"/>
      <c r="CWH23" s="36"/>
      <c r="CWI23" s="36"/>
      <c r="CWJ23" s="36"/>
      <c r="CWK23" s="36"/>
      <c r="CWL23" s="36"/>
      <c r="CWM23" s="36"/>
      <c r="CWN23" s="36"/>
      <c r="CWO23" s="36"/>
      <c r="CWP23" s="36"/>
      <c r="CWQ23" s="36"/>
      <c r="CWR23" s="36"/>
      <c r="CWS23" s="36"/>
      <c r="CWT23" s="36"/>
      <c r="CWU23" s="36"/>
      <c r="CWV23" s="36"/>
      <c r="CWW23" s="36"/>
      <c r="CWX23" s="36"/>
      <c r="CWY23" s="36"/>
      <c r="CWZ23" s="36"/>
      <c r="CXA23" s="36"/>
      <c r="CXB23" s="36"/>
      <c r="CXC23" s="36"/>
      <c r="CXD23" s="36"/>
      <c r="CXE23" s="36"/>
      <c r="CXF23" s="36"/>
      <c r="CXG23" s="36"/>
      <c r="CXH23" s="36"/>
      <c r="CXI23" s="36"/>
      <c r="CXJ23" s="36"/>
      <c r="CXK23" s="36"/>
      <c r="CXL23" s="36"/>
      <c r="CXM23" s="36"/>
      <c r="CXN23" s="36"/>
      <c r="CXO23" s="36"/>
      <c r="CXP23" s="36"/>
      <c r="CXQ23" s="36"/>
      <c r="CXR23" s="36"/>
      <c r="CXS23" s="36"/>
      <c r="CXT23" s="36"/>
      <c r="CXU23" s="36"/>
      <c r="CXV23" s="36"/>
      <c r="CXW23" s="36"/>
      <c r="CXX23" s="36"/>
      <c r="CXY23" s="36"/>
      <c r="CXZ23" s="36"/>
      <c r="CYA23" s="36"/>
      <c r="CYB23" s="36"/>
      <c r="CYC23" s="36"/>
      <c r="CYD23" s="36"/>
      <c r="CYE23" s="36"/>
      <c r="CYF23" s="36"/>
      <c r="CYG23" s="36"/>
      <c r="CYH23" s="36"/>
      <c r="CYI23" s="36"/>
      <c r="CYJ23" s="36"/>
      <c r="CYK23" s="36"/>
      <c r="CYL23" s="36"/>
      <c r="CYM23" s="36"/>
      <c r="CYN23" s="36"/>
      <c r="CYO23" s="36"/>
      <c r="CYP23" s="36"/>
      <c r="CYQ23" s="36"/>
      <c r="CYR23" s="36"/>
      <c r="CYS23" s="36"/>
      <c r="CYT23" s="36"/>
      <c r="CYU23" s="36"/>
      <c r="CYV23" s="36"/>
      <c r="CYW23" s="36"/>
      <c r="CYX23" s="36"/>
      <c r="CYY23" s="36"/>
      <c r="CYZ23" s="36"/>
      <c r="CZA23" s="36"/>
      <c r="CZB23" s="36"/>
      <c r="CZC23" s="36"/>
      <c r="CZD23" s="36"/>
      <c r="CZE23" s="36"/>
      <c r="CZF23" s="36"/>
      <c r="CZG23" s="36"/>
      <c r="CZH23" s="36"/>
      <c r="CZI23" s="36"/>
      <c r="CZJ23" s="36"/>
      <c r="CZK23" s="36"/>
      <c r="CZL23" s="36"/>
      <c r="CZM23" s="36"/>
      <c r="CZN23" s="36"/>
      <c r="CZO23" s="36"/>
      <c r="CZP23" s="36"/>
      <c r="CZQ23" s="36"/>
      <c r="CZR23" s="36"/>
      <c r="CZS23" s="36"/>
      <c r="CZT23" s="36"/>
      <c r="CZU23" s="36"/>
      <c r="CZV23" s="36"/>
      <c r="CZW23" s="36"/>
      <c r="CZX23" s="36"/>
      <c r="CZY23" s="36"/>
      <c r="CZZ23" s="36"/>
      <c r="DAA23" s="36"/>
      <c r="DAB23" s="36"/>
      <c r="DAC23" s="36"/>
      <c r="DAD23" s="36"/>
      <c r="DAE23" s="36"/>
      <c r="DAF23" s="36"/>
      <c r="DAG23" s="36"/>
      <c r="DAH23" s="36"/>
      <c r="DAI23" s="36"/>
      <c r="DAJ23" s="36"/>
      <c r="DAK23" s="36"/>
      <c r="DAL23" s="36"/>
      <c r="DAM23" s="36"/>
      <c r="DAN23" s="36"/>
      <c r="DAO23" s="36"/>
      <c r="DAP23" s="36"/>
      <c r="DAQ23" s="36"/>
      <c r="DAR23" s="36"/>
      <c r="DAS23" s="36"/>
      <c r="DAT23" s="36"/>
      <c r="DAU23" s="36"/>
      <c r="DAV23" s="36"/>
      <c r="DAW23" s="36"/>
      <c r="DAX23" s="36"/>
      <c r="DAY23" s="36"/>
      <c r="DAZ23" s="36"/>
      <c r="DBA23" s="36"/>
      <c r="DBB23" s="36"/>
      <c r="DBC23" s="36"/>
      <c r="DBD23" s="36"/>
      <c r="DBE23" s="36"/>
      <c r="DBF23" s="36"/>
      <c r="DBG23" s="36"/>
      <c r="DBH23" s="36"/>
      <c r="DBI23" s="36"/>
      <c r="DBJ23" s="36"/>
      <c r="DBK23" s="36"/>
      <c r="DBL23" s="36"/>
      <c r="DBM23" s="36"/>
      <c r="DBN23" s="36"/>
      <c r="DBO23" s="36"/>
      <c r="DBP23" s="36"/>
      <c r="DBQ23" s="36"/>
      <c r="DBR23" s="36"/>
      <c r="DBS23" s="36"/>
      <c r="DBT23" s="36"/>
      <c r="DBU23" s="36"/>
      <c r="DBV23" s="36"/>
      <c r="DBW23" s="36"/>
      <c r="DBX23" s="36"/>
      <c r="DBY23" s="36"/>
      <c r="DBZ23" s="36"/>
      <c r="DCA23" s="36"/>
      <c r="DCB23" s="36"/>
      <c r="DCC23" s="36"/>
      <c r="DCD23" s="36"/>
      <c r="DCE23" s="36"/>
      <c r="DCF23" s="36"/>
      <c r="DCG23" s="36"/>
      <c r="DCH23" s="36"/>
      <c r="DCI23" s="36"/>
      <c r="DCJ23" s="36"/>
      <c r="DCK23" s="36"/>
      <c r="DCL23" s="36"/>
      <c r="DCM23" s="36"/>
      <c r="DCN23" s="36"/>
      <c r="DCO23" s="36"/>
      <c r="DCP23" s="36"/>
      <c r="DCQ23" s="36"/>
      <c r="DCR23" s="36"/>
      <c r="DCS23" s="36"/>
      <c r="DCT23" s="36"/>
      <c r="DCU23" s="36"/>
      <c r="DCV23" s="36"/>
      <c r="DCW23" s="36"/>
      <c r="DCX23" s="36"/>
      <c r="DCY23" s="36"/>
      <c r="DCZ23" s="36"/>
      <c r="DDA23" s="36"/>
      <c r="DDB23" s="36"/>
      <c r="DDC23" s="36"/>
      <c r="DDD23" s="36"/>
      <c r="DDE23" s="36"/>
      <c r="DDF23" s="36"/>
      <c r="DDG23" s="36"/>
      <c r="DDH23" s="36"/>
      <c r="DDI23" s="36"/>
      <c r="DDJ23" s="36"/>
      <c r="DDK23" s="36"/>
      <c r="DDL23" s="36"/>
      <c r="DDM23" s="36"/>
      <c r="DDN23" s="36"/>
      <c r="DDO23" s="36"/>
      <c r="DDP23" s="36"/>
      <c r="DDQ23" s="36"/>
      <c r="DDR23" s="36"/>
      <c r="DDS23" s="36"/>
      <c r="DDT23" s="36"/>
      <c r="DDU23" s="36"/>
      <c r="DDV23" s="36"/>
      <c r="DDW23" s="36"/>
      <c r="DDX23" s="36"/>
      <c r="DDY23" s="36"/>
      <c r="DDZ23" s="36"/>
      <c r="DEA23" s="36"/>
      <c r="DEB23" s="36"/>
      <c r="DEC23" s="36"/>
      <c r="DED23" s="36"/>
      <c r="DEE23" s="36"/>
      <c r="DEF23" s="36"/>
      <c r="DEG23" s="36"/>
      <c r="DEH23" s="36"/>
      <c r="DEI23" s="36"/>
      <c r="DEJ23" s="36"/>
      <c r="DEK23" s="36"/>
      <c r="DEL23" s="36"/>
      <c r="DEM23" s="36"/>
      <c r="DEN23" s="36"/>
      <c r="DEO23" s="36"/>
      <c r="DEP23" s="36"/>
      <c r="DEQ23" s="36"/>
      <c r="DER23" s="36"/>
      <c r="DES23" s="36"/>
      <c r="DET23" s="36"/>
      <c r="DEU23" s="36"/>
      <c r="DEV23" s="36"/>
      <c r="DEW23" s="36"/>
      <c r="DEX23" s="36"/>
      <c r="DEY23" s="36"/>
      <c r="DEZ23" s="36"/>
      <c r="DFA23" s="36"/>
      <c r="DFB23" s="36"/>
      <c r="DFC23" s="36"/>
      <c r="DFD23" s="36"/>
      <c r="DFE23" s="36"/>
      <c r="DFF23" s="36"/>
      <c r="DFG23" s="36"/>
      <c r="DFH23" s="36"/>
      <c r="DFI23" s="36"/>
      <c r="DFJ23" s="36"/>
      <c r="DFK23" s="36"/>
      <c r="DFL23" s="36"/>
      <c r="DFM23" s="36"/>
      <c r="DFN23" s="36"/>
      <c r="DFO23" s="36"/>
      <c r="DFP23" s="36"/>
      <c r="DFQ23" s="36"/>
      <c r="DFR23" s="36"/>
      <c r="DFS23" s="36"/>
      <c r="DFT23" s="36"/>
      <c r="DFU23" s="36"/>
      <c r="DFV23" s="36"/>
      <c r="DFW23" s="36"/>
      <c r="DFX23" s="36"/>
      <c r="DFY23" s="36"/>
      <c r="DFZ23" s="36"/>
      <c r="DGA23" s="36"/>
      <c r="DGB23" s="36"/>
      <c r="DGC23" s="36"/>
      <c r="DGD23" s="36"/>
      <c r="DGE23" s="36"/>
      <c r="DGF23" s="36"/>
      <c r="DGG23" s="36"/>
      <c r="DGH23" s="36"/>
      <c r="DGI23" s="36"/>
      <c r="DGJ23" s="36"/>
      <c r="DGK23" s="36"/>
      <c r="DGL23" s="36"/>
      <c r="DGM23" s="36"/>
      <c r="DGN23" s="36"/>
      <c r="DGO23" s="36"/>
      <c r="DGP23" s="36"/>
      <c r="DGQ23" s="36"/>
      <c r="DGR23" s="36"/>
      <c r="DGS23" s="36"/>
      <c r="DGT23" s="36"/>
      <c r="DGU23" s="36"/>
      <c r="DGV23" s="36"/>
      <c r="DGW23" s="36"/>
      <c r="DGX23" s="36"/>
      <c r="DGY23" s="36"/>
      <c r="DGZ23" s="36"/>
      <c r="DHA23" s="36"/>
      <c r="DHB23" s="36"/>
      <c r="DHC23" s="36"/>
      <c r="DHD23" s="36"/>
      <c r="DHE23" s="36"/>
      <c r="DHF23" s="36"/>
      <c r="DHG23" s="36"/>
      <c r="DHH23" s="36"/>
      <c r="DHI23" s="36"/>
      <c r="DHJ23" s="36"/>
      <c r="DHK23" s="36"/>
      <c r="DHL23" s="36"/>
      <c r="DHM23" s="36"/>
      <c r="DHN23" s="36"/>
      <c r="DHO23" s="36"/>
      <c r="DHP23" s="36"/>
      <c r="DHQ23" s="36"/>
      <c r="DHR23" s="36"/>
      <c r="DHS23" s="36"/>
      <c r="DHT23" s="36"/>
      <c r="DHU23" s="36"/>
      <c r="DHV23" s="36"/>
      <c r="DHW23" s="36"/>
      <c r="DHX23" s="36"/>
      <c r="DHY23" s="36"/>
      <c r="DHZ23" s="36"/>
      <c r="DIA23" s="36"/>
      <c r="DIB23" s="36"/>
      <c r="DIC23" s="36"/>
      <c r="DID23" s="36"/>
      <c r="DIE23" s="36"/>
      <c r="DIF23" s="36"/>
      <c r="DIG23" s="36"/>
      <c r="DIH23" s="36"/>
      <c r="DII23" s="36"/>
      <c r="DIJ23" s="36"/>
      <c r="DIK23" s="36"/>
      <c r="DIL23" s="36"/>
      <c r="DIM23" s="36"/>
      <c r="DIN23" s="36"/>
      <c r="DIO23" s="36"/>
      <c r="DIP23" s="36"/>
      <c r="DIQ23" s="36"/>
      <c r="DIR23" s="36"/>
      <c r="DIS23" s="36"/>
      <c r="DIT23" s="36"/>
      <c r="DIU23" s="36"/>
      <c r="DIV23" s="36"/>
      <c r="DIW23" s="36"/>
      <c r="DIX23" s="36"/>
      <c r="DIY23" s="36"/>
      <c r="DIZ23" s="36"/>
      <c r="DJA23" s="36"/>
      <c r="DJB23" s="36"/>
      <c r="DJC23" s="36"/>
      <c r="DJD23" s="36"/>
      <c r="DJE23" s="36"/>
      <c r="DJF23" s="36"/>
      <c r="DJG23" s="36"/>
      <c r="DJH23" s="36"/>
      <c r="DJI23" s="36"/>
      <c r="DJJ23" s="36"/>
      <c r="DJK23" s="36"/>
      <c r="DJL23" s="36"/>
      <c r="DJM23" s="36"/>
      <c r="DJN23" s="36"/>
      <c r="DJO23" s="36"/>
      <c r="DJP23" s="36"/>
      <c r="DJQ23" s="36"/>
      <c r="DJR23" s="36"/>
      <c r="DJS23" s="36"/>
      <c r="DJT23" s="36"/>
      <c r="DJU23" s="36"/>
      <c r="DJV23" s="36"/>
      <c r="DJW23" s="36"/>
      <c r="DJX23" s="36"/>
      <c r="DJY23" s="36"/>
      <c r="DJZ23" s="36"/>
      <c r="DKA23" s="36"/>
      <c r="DKB23" s="36"/>
      <c r="DKC23" s="36"/>
      <c r="DKD23" s="36"/>
      <c r="DKE23" s="36"/>
      <c r="DKF23" s="36"/>
      <c r="DKG23" s="36"/>
      <c r="DKH23" s="36"/>
      <c r="DKI23" s="36"/>
      <c r="DKJ23" s="36"/>
      <c r="DKK23" s="36"/>
      <c r="DKL23" s="36"/>
      <c r="DKM23" s="36"/>
      <c r="DKN23" s="36"/>
      <c r="DKO23" s="36"/>
      <c r="DKP23" s="36"/>
      <c r="DKQ23" s="36"/>
      <c r="DKR23" s="36"/>
      <c r="DKS23" s="36"/>
      <c r="DKT23" s="36"/>
      <c r="DKU23" s="36"/>
      <c r="DKV23" s="36"/>
      <c r="DKW23" s="36"/>
      <c r="DKX23" s="36"/>
      <c r="DKY23" s="36"/>
      <c r="DKZ23" s="36"/>
      <c r="DLA23" s="36"/>
      <c r="DLB23" s="36"/>
      <c r="DLC23" s="36"/>
      <c r="DLD23" s="36"/>
      <c r="DLE23" s="36"/>
      <c r="DLF23" s="36"/>
      <c r="DLG23" s="36"/>
      <c r="DLH23" s="36"/>
      <c r="DLI23" s="36"/>
      <c r="DLJ23" s="36"/>
      <c r="DLK23" s="36"/>
      <c r="DLL23" s="36"/>
      <c r="DLM23" s="36"/>
      <c r="DLN23" s="36"/>
      <c r="DLO23" s="36"/>
      <c r="DLP23" s="36"/>
      <c r="DLQ23" s="36"/>
      <c r="DLR23" s="36"/>
      <c r="DLS23" s="36"/>
      <c r="DLT23" s="36"/>
      <c r="DLU23" s="36"/>
      <c r="DLV23" s="36"/>
      <c r="DLW23" s="36"/>
      <c r="DLX23" s="36"/>
      <c r="DLY23" s="36"/>
      <c r="DLZ23" s="36"/>
      <c r="DMA23" s="36"/>
      <c r="DMB23" s="36"/>
      <c r="DMC23" s="36"/>
      <c r="DMD23" s="36"/>
      <c r="DME23" s="36"/>
      <c r="DMF23" s="36"/>
      <c r="DMG23" s="36"/>
      <c r="DMH23" s="36"/>
      <c r="DMI23" s="36"/>
      <c r="DMJ23" s="36"/>
      <c r="DMK23" s="36"/>
      <c r="DML23" s="36"/>
      <c r="DMM23" s="36"/>
      <c r="DMN23" s="36"/>
      <c r="DMO23" s="36"/>
      <c r="DMP23" s="36"/>
      <c r="DMQ23" s="36"/>
      <c r="DMR23" s="36"/>
      <c r="DMS23" s="36"/>
      <c r="DMT23" s="36"/>
      <c r="DMU23" s="36"/>
      <c r="DMV23" s="36"/>
      <c r="DMW23" s="36"/>
      <c r="DMX23" s="36"/>
      <c r="DMY23" s="36"/>
      <c r="DMZ23" s="36"/>
      <c r="DNA23" s="36"/>
      <c r="DNB23" s="36"/>
      <c r="DNC23" s="36"/>
      <c r="DND23" s="36"/>
      <c r="DNE23" s="36"/>
      <c r="DNF23" s="36"/>
      <c r="DNG23" s="36"/>
      <c r="DNH23" s="36"/>
      <c r="DNI23" s="36"/>
      <c r="DNJ23" s="36"/>
      <c r="DNK23" s="36"/>
      <c r="DNL23" s="36"/>
      <c r="DNM23" s="36"/>
      <c r="DNN23" s="36"/>
      <c r="DNO23" s="36"/>
      <c r="DNP23" s="36"/>
      <c r="DNQ23" s="36"/>
      <c r="DNR23" s="36"/>
      <c r="DNS23" s="36"/>
      <c r="DNT23" s="36"/>
      <c r="DNU23" s="36"/>
      <c r="DNV23" s="36"/>
      <c r="DNW23" s="36"/>
      <c r="DNX23" s="36"/>
      <c r="DNY23" s="36"/>
      <c r="DNZ23" s="36"/>
      <c r="DOA23" s="36"/>
      <c r="DOB23" s="36"/>
      <c r="DOC23" s="36"/>
      <c r="DOD23" s="36"/>
      <c r="DOE23" s="36"/>
      <c r="DOF23" s="36"/>
      <c r="DOG23" s="36"/>
      <c r="DOH23" s="36"/>
      <c r="DOI23" s="36"/>
      <c r="DOJ23" s="36"/>
      <c r="DOK23" s="36"/>
      <c r="DOL23" s="36"/>
      <c r="DOM23" s="36"/>
      <c r="DON23" s="36"/>
      <c r="DOO23" s="36"/>
      <c r="DOP23" s="36"/>
      <c r="DOQ23" s="36"/>
      <c r="DOR23" s="36"/>
      <c r="DOS23" s="36"/>
      <c r="DOT23" s="36"/>
      <c r="DOU23" s="36"/>
      <c r="DOV23" s="36"/>
      <c r="DOW23" s="36"/>
      <c r="DOX23" s="36"/>
      <c r="DOY23" s="36"/>
      <c r="DOZ23" s="36"/>
      <c r="DPA23" s="36"/>
      <c r="DPB23" s="36"/>
      <c r="DPC23" s="36"/>
      <c r="DPD23" s="36"/>
      <c r="DPE23" s="36"/>
      <c r="DPF23" s="36"/>
      <c r="DPG23" s="36"/>
      <c r="DPH23" s="36"/>
      <c r="DPI23" s="36"/>
      <c r="DPJ23" s="36"/>
      <c r="DPK23" s="36"/>
      <c r="DPL23" s="36"/>
      <c r="DPM23" s="36"/>
      <c r="DPN23" s="36"/>
      <c r="DPO23" s="36"/>
      <c r="DPP23" s="36"/>
      <c r="DPQ23" s="36"/>
      <c r="DPR23" s="36"/>
      <c r="DPS23" s="36"/>
      <c r="DPT23" s="36"/>
      <c r="DPU23" s="36"/>
      <c r="DPV23" s="36"/>
      <c r="DPW23" s="36"/>
      <c r="DPX23" s="36"/>
      <c r="DPY23" s="36"/>
      <c r="DPZ23" s="36"/>
      <c r="DQA23" s="36"/>
      <c r="DQB23" s="36"/>
      <c r="DQC23" s="36"/>
      <c r="DQD23" s="36"/>
      <c r="DQE23" s="36"/>
      <c r="DQF23" s="36"/>
      <c r="DQG23" s="36"/>
      <c r="DQH23" s="36"/>
      <c r="DQI23" s="36"/>
      <c r="DQJ23" s="36"/>
      <c r="DQK23" s="36"/>
      <c r="DQL23" s="36"/>
      <c r="DQM23" s="36"/>
      <c r="DQN23" s="36"/>
      <c r="DQO23" s="36"/>
      <c r="DQP23" s="36"/>
      <c r="DQQ23" s="36"/>
      <c r="DQR23" s="36"/>
      <c r="DQS23" s="36"/>
      <c r="DQT23" s="36"/>
      <c r="DQU23" s="36"/>
      <c r="DQV23" s="36"/>
      <c r="DQW23" s="36"/>
      <c r="DQX23" s="36"/>
      <c r="DQY23" s="36"/>
      <c r="DQZ23" s="36"/>
      <c r="DRA23" s="36"/>
      <c r="DRB23" s="36"/>
      <c r="DRC23" s="36"/>
      <c r="DRD23" s="36"/>
      <c r="DRE23" s="36"/>
      <c r="DRF23" s="36"/>
      <c r="DRG23" s="36"/>
      <c r="DRH23" s="36"/>
      <c r="DRI23" s="36"/>
      <c r="DRJ23" s="36"/>
      <c r="DRK23" s="36"/>
      <c r="DRL23" s="36"/>
      <c r="DRM23" s="36"/>
      <c r="DRN23" s="36"/>
      <c r="DRO23" s="36"/>
      <c r="DRP23" s="36"/>
      <c r="DRQ23" s="36"/>
      <c r="DRR23" s="36"/>
      <c r="DRS23" s="36"/>
      <c r="DRT23" s="36"/>
      <c r="DRU23" s="36"/>
      <c r="DRV23" s="36"/>
      <c r="DRW23" s="36"/>
      <c r="DRX23" s="36"/>
      <c r="DRY23" s="36"/>
      <c r="DRZ23" s="36"/>
      <c r="DSA23" s="36"/>
      <c r="DSB23" s="36"/>
      <c r="DSC23" s="36"/>
      <c r="DSD23" s="36"/>
      <c r="DSE23" s="36"/>
      <c r="DSF23" s="36"/>
      <c r="DSG23" s="36"/>
      <c r="DSH23" s="36"/>
      <c r="DSI23" s="36"/>
      <c r="DSJ23" s="36"/>
      <c r="DSK23" s="36"/>
      <c r="DSL23" s="36"/>
      <c r="DSM23" s="36"/>
      <c r="DSN23" s="36"/>
      <c r="DSO23" s="36"/>
      <c r="DSP23" s="36"/>
      <c r="DSQ23" s="36"/>
      <c r="DSR23" s="36"/>
      <c r="DSS23" s="36"/>
      <c r="DST23" s="36"/>
      <c r="DSU23" s="36"/>
      <c r="DSV23" s="36"/>
      <c r="DSW23" s="36"/>
      <c r="DSX23" s="36"/>
      <c r="DSY23" s="36"/>
      <c r="DSZ23" s="36"/>
      <c r="DTA23" s="36"/>
      <c r="DTB23" s="36"/>
      <c r="DTC23" s="36"/>
      <c r="DTD23" s="36"/>
      <c r="DTE23" s="36"/>
      <c r="DTF23" s="36"/>
      <c r="DTG23" s="36"/>
      <c r="DTH23" s="36"/>
      <c r="DTI23" s="36"/>
      <c r="DTJ23" s="36"/>
      <c r="DTK23" s="36"/>
      <c r="DTL23" s="36"/>
      <c r="DTM23" s="36"/>
      <c r="DTN23" s="36"/>
      <c r="DTO23" s="36"/>
      <c r="DTP23" s="36"/>
      <c r="DTQ23" s="36"/>
      <c r="DTR23" s="36"/>
      <c r="DTS23" s="36"/>
      <c r="DTT23" s="36"/>
      <c r="DTU23" s="36"/>
      <c r="DTV23" s="36"/>
      <c r="DTW23" s="36"/>
      <c r="DTX23" s="36"/>
      <c r="DTY23" s="36"/>
      <c r="DTZ23" s="36"/>
      <c r="DUA23" s="36"/>
      <c r="DUB23" s="36"/>
      <c r="DUC23" s="36"/>
      <c r="DUD23" s="36"/>
      <c r="DUE23" s="36"/>
      <c r="DUF23" s="36"/>
      <c r="DUG23" s="36"/>
      <c r="DUH23" s="36"/>
      <c r="DUI23" s="36"/>
      <c r="DUJ23" s="36"/>
      <c r="DUK23" s="36"/>
      <c r="DUL23" s="36"/>
      <c r="DUM23" s="36"/>
      <c r="DUN23" s="36"/>
      <c r="DUO23" s="36"/>
      <c r="DUP23" s="36"/>
      <c r="DUQ23" s="36"/>
      <c r="DUR23" s="36"/>
      <c r="DUS23" s="36"/>
      <c r="DUT23" s="36"/>
      <c r="DUU23" s="36"/>
      <c r="DUV23" s="36"/>
      <c r="DUW23" s="36"/>
      <c r="DUX23" s="36"/>
      <c r="DUY23" s="36"/>
      <c r="DUZ23" s="36"/>
      <c r="DVA23" s="36"/>
      <c r="DVB23" s="36"/>
      <c r="DVC23" s="36"/>
      <c r="DVD23" s="36"/>
      <c r="DVE23" s="36"/>
      <c r="DVF23" s="36"/>
      <c r="DVG23" s="36"/>
      <c r="DVH23" s="36"/>
      <c r="DVI23" s="36"/>
      <c r="DVJ23" s="36"/>
      <c r="DVK23" s="36"/>
      <c r="DVL23" s="36"/>
      <c r="DVM23" s="36"/>
      <c r="DVN23" s="36"/>
      <c r="DVO23" s="36"/>
      <c r="DVP23" s="36"/>
      <c r="DVQ23" s="36"/>
      <c r="DVR23" s="36"/>
      <c r="DVS23" s="36"/>
      <c r="DVT23" s="36"/>
      <c r="DVU23" s="36"/>
      <c r="DVV23" s="36"/>
      <c r="DVW23" s="36"/>
      <c r="DVX23" s="36"/>
      <c r="DVY23" s="36"/>
      <c r="DVZ23" s="36"/>
      <c r="DWA23" s="36"/>
      <c r="DWB23" s="36"/>
      <c r="DWC23" s="36"/>
      <c r="DWD23" s="36"/>
      <c r="DWE23" s="36"/>
      <c r="DWF23" s="36"/>
      <c r="DWG23" s="36"/>
      <c r="DWH23" s="36"/>
      <c r="DWI23" s="36"/>
      <c r="DWJ23" s="36"/>
      <c r="DWK23" s="36"/>
      <c r="DWL23" s="36"/>
      <c r="DWM23" s="36"/>
      <c r="DWN23" s="36"/>
      <c r="DWO23" s="36"/>
      <c r="DWP23" s="36"/>
      <c r="DWQ23" s="36"/>
      <c r="DWR23" s="36"/>
      <c r="DWS23" s="36"/>
      <c r="DWT23" s="36"/>
      <c r="DWU23" s="36"/>
      <c r="DWV23" s="36"/>
      <c r="DWW23" s="36"/>
      <c r="DWX23" s="36"/>
      <c r="DWY23" s="36"/>
      <c r="DWZ23" s="36"/>
      <c r="DXA23" s="36"/>
      <c r="DXB23" s="36"/>
      <c r="DXC23" s="36"/>
      <c r="DXD23" s="36"/>
      <c r="DXE23" s="36"/>
      <c r="DXF23" s="36"/>
      <c r="DXG23" s="36"/>
      <c r="DXH23" s="36"/>
      <c r="DXI23" s="36"/>
      <c r="DXJ23" s="36"/>
      <c r="DXK23" s="36"/>
      <c r="DXL23" s="36"/>
      <c r="DXM23" s="36"/>
      <c r="DXN23" s="36"/>
      <c r="DXO23" s="36"/>
      <c r="DXP23" s="36"/>
      <c r="DXQ23" s="36"/>
      <c r="DXR23" s="36"/>
      <c r="DXS23" s="36"/>
      <c r="DXT23" s="36"/>
      <c r="DXU23" s="36"/>
      <c r="DXV23" s="36"/>
      <c r="DXW23" s="36"/>
      <c r="DXX23" s="36"/>
      <c r="DXY23" s="36"/>
      <c r="DXZ23" s="36"/>
      <c r="DYA23" s="36"/>
      <c r="DYB23" s="36"/>
      <c r="DYC23" s="36"/>
      <c r="DYD23" s="36"/>
      <c r="DYE23" s="36"/>
      <c r="DYF23" s="36"/>
      <c r="DYG23" s="36"/>
      <c r="DYH23" s="36"/>
      <c r="DYI23" s="36"/>
      <c r="DYJ23" s="36"/>
      <c r="DYK23" s="36"/>
      <c r="DYL23" s="36"/>
      <c r="DYM23" s="36"/>
      <c r="DYN23" s="36"/>
      <c r="DYO23" s="36"/>
      <c r="DYP23" s="36"/>
      <c r="DYQ23" s="36"/>
      <c r="DYR23" s="36"/>
      <c r="DYS23" s="36"/>
      <c r="DYT23" s="36"/>
      <c r="DYU23" s="36"/>
      <c r="DYV23" s="36"/>
      <c r="DYW23" s="36"/>
      <c r="DYX23" s="36"/>
      <c r="DYY23" s="36"/>
      <c r="DYZ23" s="36"/>
      <c r="DZA23" s="36"/>
      <c r="DZB23" s="36"/>
      <c r="DZC23" s="36"/>
      <c r="DZD23" s="36"/>
      <c r="DZE23" s="36"/>
      <c r="DZF23" s="36"/>
      <c r="DZG23" s="36"/>
      <c r="DZH23" s="36"/>
      <c r="DZI23" s="36"/>
      <c r="DZJ23" s="36"/>
      <c r="DZK23" s="36"/>
      <c r="DZL23" s="36"/>
      <c r="DZM23" s="36"/>
      <c r="DZN23" s="36"/>
      <c r="DZO23" s="36"/>
      <c r="DZP23" s="36"/>
      <c r="DZQ23" s="36"/>
      <c r="DZR23" s="36"/>
      <c r="DZS23" s="36"/>
      <c r="DZT23" s="36"/>
      <c r="DZU23" s="36"/>
      <c r="DZV23" s="36"/>
      <c r="DZW23" s="36"/>
      <c r="DZX23" s="36"/>
      <c r="DZY23" s="36"/>
      <c r="DZZ23" s="36"/>
      <c r="EAA23" s="36"/>
      <c r="EAB23" s="36"/>
      <c r="EAC23" s="36"/>
      <c r="EAD23" s="36"/>
      <c r="EAE23" s="36"/>
      <c r="EAF23" s="36"/>
      <c r="EAG23" s="36"/>
      <c r="EAH23" s="36"/>
      <c r="EAI23" s="36"/>
      <c r="EAJ23" s="36"/>
      <c r="EAK23" s="36"/>
      <c r="EAL23" s="36"/>
      <c r="EAM23" s="36"/>
      <c r="EAN23" s="36"/>
      <c r="EAO23" s="36"/>
      <c r="EAP23" s="36"/>
      <c r="EAQ23" s="36"/>
      <c r="EAR23" s="36"/>
      <c r="EAS23" s="36"/>
      <c r="EAT23" s="36"/>
      <c r="EAU23" s="36"/>
      <c r="EAV23" s="36"/>
      <c r="EAW23" s="36"/>
      <c r="EAX23" s="36"/>
      <c r="EAY23" s="36"/>
      <c r="EAZ23" s="36"/>
      <c r="EBA23" s="36"/>
      <c r="EBB23" s="36"/>
      <c r="EBC23" s="36"/>
      <c r="EBD23" s="36"/>
      <c r="EBE23" s="36"/>
      <c r="EBF23" s="36"/>
      <c r="EBG23" s="36"/>
      <c r="EBH23" s="36"/>
      <c r="EBI23" s="36"/>
      <c r="EBJ23" s="36"/>
      <c r="EBK23" s="36"/>
      <c r="EBL23" s="36"/>
      <c r="EBM23" s="36"/>
      <c r="EBN23" s="36"/>
      <c r="EBO23" s="36"/>
      <c r="EBP23" s="36"/>
      <c r="EBQ23" s="36"/>
      <c r="EBR23" s="36"/>
      <c r="EBS23" s="36"/>
      <c r="EBT23" s="36"/>
      <c r="EBU23" s="36"/>
      <c r="EBV23" s="36"/>
      <c r="EBW23" s="36"/>
      <c r="EBX23" s="36"/>
      <c r="EBY23" s="36"/>
      <c r="EBZ23" s="36"/>
      <c r="ECA23" s="36"/>
      <c r="ECB23" s="36"/>
      <c r="ECC23" s="36"/>
      <c r="ECD23" s="36"/>
      <c r="ECE23" s="36"/>
      <c r="ECF23" s="36"/>
      <c r="ECG23" s="36"/>
      <c r="ECH23" s="36"/>
      <c r="ECI23" s="36"/>
      <c r="ECJ23" s="36"/>
      <c r="ECK23" s="36"/>
      <c r="ECL23" s="36"/>
      <c r="ECM23" s="36"/>
      <c r="ECN23" s="36"/>
      <c r="ECO23" s="36"/>
      <c r="ECP23" s="36"/>
      <c r="ECQ23" s="36"/>
      <c r="ECR23" s="36"/>
      <c r="ECS23" s="36"/>
      <c r="ECT23" s="36"/>
      <c r="ECU23" s="36"/>
      <c r="ECV23" s="36"/>
      <c r="ECW23" s="36"/>
      <c r="ECX23" s="36"/>
      <c r="ECY23" s="36"/>
      <c r="ECZ23" s="36"/>
      <c r="EDA23" s="36"/>
      <c r="EDB23" s="36"/>
      <c r="EDC23" s="36"/>
      <c r="EDD23" s="36"/>
      <c r="EDE23" s="36"/>
      <c r="EDF23" s="36"/>
      <c r="EDG23" s="36"/>
      <c r="EDH23" s="36"/>
      <c r="EDI23" s="36"/>
      <c r="EDJ23" s="36"/>
      <c r="EDK23" s="36"/>
      <c r="EDL23" s="36"/>
      <c r="EDM23" s="36"/>
      <c r="EDN23" s="36"/>
      <c r="EDO23" s="36"/>
      <c r="EDP23" s="36"/>
      <c r="EDQ23" s="36"/>
      <c r="EDR23" s="36"/>
      <c r="EDS23" s="36"/>
      <c r="EDT23" s="36"/>
      <c r="EDU23" s="36"/>
      <c r="EDV23" s="36"/>
      <c r="EDW23" s="36"/>
      <c r="EDX23" s="36"/>
      <c r="EDY23" s="36"/>
      <c r="EDZ23" s="36"/>
      <c r="EEA23" s="36"/>
      <c r="EEB23" s="36"/>
      <c r="EEC23" s="36"/>
      <c r="EED23" s="36"/>
      <c r="EEE23" s="36"/>
      <c r="EEF23" s="36"/>
      <c r="EEG23" s="36"/>
      <c r="EEH23" s="36"/>
      <c r="EEI23" s="36"/>
      <c r="EEJ23" s="36"/>
      <c r="EEK23" s="36"/>
      <c r="EEL23" s="36"/>
      <c r="EEM23" s="36"/>
      <c r="EEN23" s="36"/>
      <c r="EEO23" s="36"/>
      <c r="EEP23" s="36"/>
      <c r="EEQ23" s="36"/>
      <c r="EER23" s="36"/>
      <c r="EES23" s="36"/>
      <c r="EET23" s="36"/>
      <c r="EEU23" s="36"/>
      <c r="EEV23" s="36"/>
      <c r="EEW23" s="36"/>
      <c r="EEX23" s="36"/>
      <c r="EEY23" s="36"/>
      <c r="EEZ23" s="36"/>
      <c r="EFA23" s="36"/>
      <c r="EFB23" s="36"/>
      <c r="EFC23" s="36"/>
      <c r="EFD23" s="36"/>
      <c r="EFE23" s="36"/>
      <c r="EFF23" s="36"/>
      <c r="EFG23" s="36"/>
      <c r="EFH23" s="36"/>
      <c r="EFI23" s="36"/>
      <c r="EFJ23" s="36"/>
      <c r="EFK23" s="36"/>
      <c r="EFL23" s="36"/>
      <c r="EFM23" s="36"/>
      <c r="EFN23" s="36"/>
      <c r="EFO23" s="36"/>
      <c r="EFP23" s="36"/>
      <c r="EFQ23" s="36"/>
      <c r="EFR23" s="36"/>
      <c r="EFS23" s="36"/>
      <c r="EFT23" s="36"/>
      <c r="EFU23" s="36"/>
      <c r="EFV23" s="36"/>
      <c r="EFW23" s="36"/>
      <c r="EFX23" s="36"/>
      <c r="EFY23" s="36"/>
      <c r="EFZ23" s="36"/>
      <c r="EGA23" s="36"/>
      <c r="EGB23" s="36"/>
      <c r="EGC23" s="36"/>
      <c r="EGD23" s="36"/>
      <c r="EGE23" s="36"/>
      <c r="EGF23" s="36"/>
      <c r="EGG23" s="36"/>
      <c r="EGH23" s="36"/>
      <c r="EGI23" s="36"/>
      <c r="EGJ23" s="36"/>
      <c r="EGK23" s="36"/>
      <c r="EGL23" s="36"/>
      <c r="EGM23" s="36"/>
      <c r="EGN23" s="36"/>
      <c r="EGO23" s="36"/>
      <c r="EGP23" s="36"/>
      <c r="EGQ23" s="36"/>
      <c r="EGR23" s="36"/>
      <c r="EGS23" s="36"/>
      <c r="EGT23" s="36"/>
      <c r="EGU23" s="36"/>
      <c r="EGV23" s="36"/>
      <c r="EGW23" s="36"/>
      <c r="EGX23" s="36"/>
      <c r="EGY23" s="36"/>
      <c r="EGZ23" s="36"/>
      <c r="EHA23" s="36"/>
      <c r="EHB23" s="36"/>
      <c r="EHC23" s="36"/>
      <c r="EHD23" s="36"/>
      <c r="EHE23" s="36"/>
      <c r="EHF23" s="36"/>
      <c r="EHG23" s="36"/>
      <c r="EHH23" s="36"/>
      <c r="EHI23" s="36"/>
      <c r="EHJ23" s="36"/>
      <c r="EHK23" s="36"/>
      <c r="EHL23" s="36"/>
      <c r="EHM23" s="36"/>
      <c r="EHN23" s="36"/>
      <c r="EHO23" s="36"/>
      <c r="EHP23" s="36"/>
      <c r="EHQ23" s="36"/>
      <c r="EHR23" s="36"/>
      <c r="EHS23" s="36"/>
      <c r="EHT23" s="36"/>
      <c r="EHU23" s="36"/>
      <c r="EHV23" s="36"/>
      <c r="EHW23" s="36"/>
      <c r="EHX23" s="36"/>
      <c r="EHY23" s="36"/>
      <c r="EHZ23" s="36"/>
      <c r="EIA23" s="36"/>
      <c r="EIB23" s="36"/>
      <c r="EIC23" s="36"/>
      <c r="EID23" s="36"/>
      <c r="EIE23" s="36"/>
      <c r="EIF23" s="36"/>
      <c r="EIG23" s="36"/>
      <c r="EIH23" s="36"/>
      <c r="EII23" s="36"/>
      <c r="EIJ23" s="36"/>
      <c r="EIK23" s="36"/>
      <c r="EIL23" s="36"/>
      <c r="EIM23" s="36"/>
      <c r="EIN23" s="36"/>
      <c r="EIO23" s="36"/>
      <c r="EIP23" s="36"/>
      <c r="EIQ23" s="36"/>
      <c r="EIR23" s="36"/>
      <c r="EIS23" s="36"/>
      <c r="EIT23" s="36"/>
      <c r="EIU23" s="36"/>
      <c r="EIV23" s="36"/>
      <c r="EIW23" s="36"/>
      <c r="EIX23" s="36"/>
      <c r="EIY23" s="36"/>
      <c r="EIZ23" s="36"/>
      <c r="EJA23" s="36"/>
      <c r="EJB23" s="36"/>
      <c r="EJC23" s="36"/>
      <c r="EJD23" s="36"/>
      <c r="EJE23" s="36"/>
      <c r="EJF23" s="36"/>
      <c r="EJG23" s="36"/>
      <c r="EJH23" s="36"/>
      <c r="EJI23" s="36"/>
      <c r="EJJ23" s="36"/>
      <c r="EJK23" s="36"/>
      <c r="EJL23" s="36"/>
      <c r="EJM23" s="36"/>
      <c r="EJN23" s="36"/>
      <c r="EJO23" s="36"/>
      <c r="EJP23" s="36"/>
      <c r="EJQ23" s="36"/>
      <c r="EJR23" s="36"/>
      <c r="EJS23" s="36"/>
      <c r="EJT23" s="36"/>
      <c r="EJU23" s="36"/>
      <c r="EJV23" s="36"/>
      <c r="EJW23" s="36"/>
      <c r="EJX23" s="36"/>
      <c r="EJY23" s="36"/>
      <c r="EJZ23" s="36"/>
      <c r="EKA23" s="36"/>
      <c r="EKB23" s="36"/>
      <c r="EKC23" s="36"/>
      <c r="EKD23" s="36"/>
      <c r="EKE23" s="36"/>
      <c r="EKF23" s="36"/>
      <c r="EKG23" s="36"/>
      <c r="EKH23" s="36"/>
      <c r="EKI23" s="36"/>
      <c r="EKJ23" s="36"/>
      <c r="EKK23" s="36"/>
      <c r="EKL23" s="36"/>
      <c r="EKM23" s="36"/>
      <c r="EKN23" s="36"/>
      <c r="EKO23" s="36"/>
      <c r="EKP23" s="36"/>
      <c r="EKQ23" s="36"/>
      <c r="EKR23" s="36"/>
      <c r="EKS23" s="36"/>
      <c r="EKT23" s="36"/>
      <c r="EKU23" s="36"/>
      <c r="EKV23" s="36"/>
      <c r="EKW23" s="36"/>
      <c r="EKX23" s="36"/>
      <c r="EKY23" s="36"/>
      <c r="EKZ23" s="36"/>
      <c r="ELA23" s="36"/>
      <c r="ELB23" s="36"/>
      <c r="ELC23" s="36"/>
      <c r="ELD23" s="36"/>
      <c r="ELE23" s="36"/>
      <c r="ELF23" s="36"/>
      <c r="ELG23" s="36"/>
      <c r="ELH23" s="36"/>
      <c r="ELI23" s="36"/>
      <c r="ELJ23" s="36"/>
      <c r="ELK23" s="36"/>
      <c r="ELL23" s="36"/>
      <c r="ELM23" s="36"/>
      <c r="ELN23" s="36"/>
      <c r="ELO23" s="36"/>
      <c r="ELP23" s="36"/>
      <c r="ELQ23" s="36"/>
      <c r="ELR23" s="36"/>
      <c r="ELS23" s="36"/>
      <c r="ELT23" s="36"/>
      <c r="ELU23" s="36"/>
      <c r="ELV23" s="36"/>
      <c r="ELW23" s="36"/>
      <c r="ELX23" s="36"/>
      <c r="ELY23" s="36"/>
      <c r="ELZ23" s="36"/>
      <c r="EMA23" s="36"/>
      <c r="EMB23" s="36"/>
      <c r="EMC23" s="36"/>
      <c r="EMD23" s="36"/>
      <c r="EME23" s="36"/>
      <c r="EMF23" s="36"/>
      <c r="EMG23" s="36"/>
      <c r="EMH23" s="36"/>
      <c r="EMI23" s="36"/>
      <c r="EMJ23" s="36"/>
      <c r="EMK23" s="36"/>
      <c r="EML23" s="36"/>
      <c r="EMM23" s="36"/>
      <c r="EMN23" s="36"/>
      <c r="EMO23" s="36"/>
      <c r="EMP23" s="36"/>
      <c r="EMQ23" s="36"/>
      <c r="EMR23" s="36"/>
      <c r="EMS23" s="36"/>
      <c r="EMT23" s="36"/>
      <c r="EMU23" s="36"/>
      <c r="EMV23" s="36"/>
      <c r="EMW23" s="36"/>
      <c r="EMX23" s="36"/>
      <c r="EMY23" s="36"/>
      <c r="EMZ23" s="36"/>
      <c r="ENA23" s="36"/>
      <c r="ENB23" s="36"/>
      <c r="ENC23" s="36"/>
      <c r="END23" s="36"/>
      <c r="ENE23" s="36"/>
      <c r="ENF23" s="36"/>
      <c r="ENG23" s="36"/>
      <c r="ENH23" s="36"/>
      <c r="ENI23" s="36"/>
      <c r="ENJ23" s="36"/>
      <c r="ENK23" s="36"/>
      <c r="ENL23" s="36"/>
      <c r="ENM23" s="36"/>
      <c r="ENN23" s="36"/>
      <c r="ENO23" s="36"/>
      <c r="ENP23" s="36"/>
      <c r="ENQ23" s="36"/>
      <c r="ENR23" s="36"/>
      <c r="ENS23" s="36"/>
      <c r="ENT23" s="36"/>
      <c r="ENU23" s="36"/>
      <c r="ENV23" s="36"/>
      <c r="ENW23" s="36"/>
      <c r="ENX23" s="36"/>
      <c r="ENY23" s="36"/>
      <c r="ENZ23" s="36"/>
      <c r="EOA23" s="36"/>
      <c r="EOB23" s="36"/>
      <c r="EOC23" s="36"/>
      <c r="EOD23" s="36"/>
      <c r="EOE23" s="36"/>
      <c r="EOF23" s="36"/>
      <c r="EOG23" s="36"/>
      <c r="EOH23" s="36"/>
      <c r="EOI23" s="36"/>
      <c r="EOJ23" s="36"/>
      <c r="EOK23" s="36"/>
      <c r="EOL23" s="36"/>
      <c r="EOM23" s="36"/>
      <c r="EON23" s="36"/>
      <c r="EOO23" s="36"/>
      <c r="EOP23" s="36"/>
      <c r="EOQ23" s="36"/>
      <c r="EOR23" s="36"/>
      <c r="EOS23" s="36"/>
      <c r="EOT23" s="36"/>
      <c r="EOU23" s="36"/>
      <c r="EOV23" s="36"/>
      <c r="EOW23" s="36"/>
      <c r="EOX23" s="36"/>
      <c r="EOY23" s="36"/>
      <c r="EOZ23" s="36"/>
      <c r="EPA23" s="36"/>
      <c r="EPB23" s="36"/>
      <c r="EPC23" s="36"/>
      <c r="EPD23" s="36"/>
      <c r="EPE23" s="36"/>
      <c r="EPF23" s="36"/>
      <c r="EPG23" s="36"/>
      <c r="EPH23" s="36"/>
      <c r="EPI23" s="36"/>
      <c r="EPJ23" s="36"/>
      <c r="EPK23" s="36"/>
      <c r="EPL23" s="36"/>
      <c r="EPM23" s="36"/>
      <c r="EPN23" s="36"/>
      <c r="EPO23" s="36"/>
      <c r="EPP23" s="36"/>
      <c r="EPQ23" s="36"/>
      <c r="EPR23" s="36"/>
      <c r="EPS23" s="36"/>
      <c r="EPT23" s="36"/>
      <c r="EPU23" s="36"/>
      <c r="EPV23" s="36"/>
      <c r="EPW23" s="36"/>
      <c r="EPX23" s="36"/>
      <c r="EPY23" s="36"/>
      <c r="EPZ23" s="36"/>
      <c r="EQA23" s="36"/>
      <c r="EQB23" s="36"/>
      <c r="EQC23" s="36"/>
      <c r="EQD23" s="36"/>
      <c r="EQE23" s="36"/>
      <c r="EQF23" s="36"/>
      <c r="EQG23" s="36"/>
      <c r="EQH23" s="36"/>
      <c r="EQI23" s="36"/>
      <c r="EQJ23" s="36"/>
      <c r="EQK23" s="36"/>
      <c r="EQL23" s="36"/>
      <c r="EQM23" s="36"/>
      <c r="EQN23" s="36"/>
      <c r="EQO23" s="36"/>
      <c r="EQP23" s="36"/>
      <c r="EQQ23" s="36"/>
      <c r="EQR23" s="36"/>
      <c r="EQS23" s="36"/>
      <c r="EQT23" s="36"/>
      <c r="EQU23" s="36"/>
      <c r="EQV23" s="36"/>
      <c r="EQW23" s="36"/>
      <c r="EQX23" s="36"/>
      <c r="EQY23" s="36"/>
      <c r="EQZ23" s="36"/>
      <c r="ERA23" s="36"/>
      <c r="ERB23" s="36"/>
      <c r="ERC23" s="36"/>
      <c r="ERD23" s="36"/>
      <c r="ERE23" s="36"/>
      <c r="ERF23" s="36"/>
      <c r="ERG23" s="36"/>
      <c r="ERH23" s="36"/>
      <c r="ERI23" s="36"/>
      <c r="ERJ23" s="36"/>
      <c r="ERK23" s="36"/>
      <c r="ERL23" s="36"/>
      <c r="ERM23" s="36"/>
      <c r="ERN23" s="36"/>
      <c r="ERO23" s="36"/>
      <c r="ERP23" s="36"/>
      <c r="ERQ23" s="36"/>
      <c r="ERR23" s="36"/>
      <c r="ERS23" s="36"/>
      <c r="ERT23" s="36"/>
      <c r="ERU23" s="36"/>
      <c r="ERV23" s="36"/>
      <c r="ERW23" s="36"/>
      <c r="ERX23" s="36"/>
      <c r="ERY23" s="36"/>
      <c r="ERZ23" s="36"/>
      <c r="ESA23" s="36"/>
      <c r="ESB23" s="36"/>
      <c r="ESC23" s="36"/>
      <c r="ESD23" s="36"/>
      <c r="ESE23" s="36"/>
      <c r="ESF23" s="36"/>
      <c r="ESG23" s="36"/>
      <c r="ESH23" s="36"/>
      <c r="ESI23" s="36"/>
      <c r="ESJ23" s="36"/>
      <c r="ESK23" s="36"/>
      <c r="ESL23" s="36"/>
      <c r="ESM23" s="36"/>
      <c r="ESN23" s="36"/>
      <c r="ESO23" s="36"/>
      <c r="ESP23" s="36"/>
      <c r="ESQ23" s="36"/>
      <c r="ESR23" s="36"/>
      <c r="ESS23" s="36"/>
      <c r="EST23" s="36"/>
      <c r="ESU23" s="36"/>
      <c r="ESV23" s="36"/>
      <c r="ESW23" s="36"/>
      <c r="ESX23" s="36"/>
      <c r="ESY23" s="36"/>
      <c r="ESZ23" s="36"/>
      <c r="ETA23" s="36"/>
      <c r="ETB23" s="36"/>
      <c r="ETC23" s="36"/>
      <c r="ETD23" s="36"/>
      <c r="ETE23" s="36"/>
      <c r="ETF23" s="36"/>
      <c r="ETG23" s="36"/>
      <c r="ETH23" s="36"/>
      <c r="ETI23" s="36"/>
      <c r="ETJ23" s="36"/>
      <c r="ETK23" s="36"/>
      <c r="ETL23" s="36"/>
      <c r="ETM23" s="36"/>
      <c r="ETN23" s="36"/>
      <c r="ETO23" s="36"/>
      <c r="ETP23" s="36"/>
      <c r="ETQ23" s="36"/>
      <c r="ETR23" s="36"/>
      <c r="ETS23" s="36"/>
      <c r="ETT23" s="36"/>
      <c r="ETU23" s="36"/>
      <c r="ETV23" s="36"/>
      <c r="ETW23" s="36"/>
      <c r="ETX23" s="36"/>
      <c r="ETY23" s="36"/>
      <c r="ETZ23" s="36"/>
      <c r="EUA23" s="36"/>
      <c r="EUB23" s="36"/>
      <c r="EUC23" s="36"/>
      <c r="EUD23" s="36"/>
      <c r="EUE23" s="36"/>
      <c r="EUF23" s="36"/>
      <c r="EUG23" s="36"/>
      <c r="EUH23" s="36"/>
      <c r="EUI23" s="36"/>
      <c r="EUJ23" s="36"/>
      <c r="EUK23" s="36"/>
      <c r="EUL23" s="36"/>
      <c r="EUM23" s="36"/>
      <c r="EUN23" s="36"/>
      <c r="EUO23" s="36"/>
      <c r="EUP23" s="36"/>
      <c r="EUQ23" s="36"/>
      <c r="EUR23" s="36"/>
      <c r="EUS23" s="36"/>
      <c r="EUT23" s="36"/>
      <c r="EUU23" s="36"/>
      <c r="EUV23" s="36"/>
      <c r="EUW23" s="36"/>
      <c r="EUX23" s="36"/>
      <c r="EUY23" s="36"/>
      <c r="EUZ23" s="36"/>
      <c r="EVA23" s="36"/>
      <c r="EVB23" s="36"/>
      <c r="EVC23" s="36"/>
      <c r="EVD23" s="36"/>
      <c r="EVE23" s="36"/>
      <c r="EVF23" s="36"/>
      <c r="EVG23" s="36"/>
      <c r="EVH23" s="36"/>
      <c r="EVI23" s="36"/>
      <c r="EVJ23" s="36"/>
      <c r="EVK23" s="36"/>
      <c r="EVL23" s="36"/>
      <c r="EVM23" s="36"/>
      <c r="EVN23" s="36"/>
      <c r="EVO23" s="36"/>
      <c r="EVP23" s="36"/>
      <c r="EVQ23" s="36"/>
      <c r="EVR23" s="36"/>
      <c r="EVS23" s="36"/>
      <c r="EVT23" s="36"/>
      <c r="EVU23" s="36"/>
      <c r="EVV23" s="36"/>
      <c r="EVW23" s="36"/>
      <c r="EVX23" s="36"/>
      <c r="EVY23" s="36"/>
      <c r="EVZ23" s="36"/>
      <c r="EWA23" s="36"/>
      <c r="EWB23" s="36"/>
      <c r="EWC23" s="36"/>
      <c r="EWD23" s="36"/>
      <c r="EWE23" s="36"/>
      <c r="EWF23" s="36"/>
      <c r="EWG23" s="36"/>
      <c r="EWH23" s="36"/>
      <c r="EWI23" s="36"/>
      <c r="EWJ23" s="36"/>
      <c r="EWK23" s="36"/>
      <c r="EWL23" s="36"/>
      <c r="EWM23" s="36"/>
      <c r="EWN23" s="36"/>
      <c r="EWO23" s="36"/>
      <c r="EWP23" s="36"/>
      <c r="EWQ23" s="36"/>
      <c r="EWR23" s="36"/>
      <c r="EWS23" s="36"/>
      <c r="EWT23" s="36"/>
      <c r="EWU23" s="36"/>
      <c r="EWV23" s="36"/>
      <c r="EWW23" s="36"/>
      <c r="EWX23" s="36"/>
      <c r="EWY23" s="36"/>
      <c r="EWZ23" s="36"/>
      <c r="EXA23" s="36"/>
      <c r="EXB23" s="36"/>
      <c r="EXC23" s="36"/>
      <c r="EXD23" s="36"/>
      <c r="EXE23" s="36"/>
      <c r="EXF23" s="36"/>
      <c r="EXG23" s="36"/>
      <c r="EXH23" s="36"/>
      <c r="EXI23" s="36"/>
      <c r="EXJ23" s="36"/>
      <c r="EXK23" s="36"/>
      <c r="EXL23" s="36"/>
      <c r="EXM23" s="36"/>
      <c r="EXN23" s="36"/>
      <c r="EXO23" s="36"/>
      <c r="EXP23" s="36"/>
      <c r="EXQ23" s="36"/>
      <c r="EXR23" s="36"/>
      <c r="EXS23" s="36"/>
      <c r="EXT23" s="36"/>
      <c r="EXU23" s="36"/>
      <c r="EXV23" s="36"/>
      <c r="EXW23" s="36"/>
      <c r="EXX23" s="36"/>
      <c r="EXY23" s="36"/>
      <c r="EXZ23" s="36"/>
      <c r="EYA23" s="36"/>
      <c r="EYB23" s="36"/>
      <c r="EYC23" s="36"/>
      <c r="EYD23" s="36"/>
      <c r="EYE23" s="36"/>
      <c r="EYF23" s="36"/>
      <c r="EYG23" s="36"/>
      <c r="EYH23" s="36"/>
      <c r="EYI23" s="36"/>
      <c r="EYJ23" s="36"/>
      <c r="EYK23" s="36"/>
      <c r="EYL23" s="36"/>
      <c r="EYM23" s="36"/>
      <c r="EYN23" s="36"/>
      <c r="EYO23" s="36"/>
      <c r="EYP23" s="36"/>
      <c r="EYQ23" s="36"/>
      <c r="EYR23" s="36"/>
      <c r="EYS23" s="36"/>
      <c r="EYT23" s="36"/>
      <c r="EYU23" s="36"/>
      <c r="EYV23" s="36"/>
      <c r="EYW23" s="36"/>
      <c r="EYX23" s="36"/>
      <c r="EYY23" s="36"/>
      <c r="EYZ23" s="36"/>
      <c r="EZA23" s="36"/>
      <c r="EZB23" s="36"/>
      <c r="EZC23" s="36"/>
      <c r="EZD23" s="36"/>
      <c r="EZE23" s="36"/>
      <c r="EZF23" s="36"/>
      <c r="EZG23" s="36"/>
      <c r="EZH23" s="36"/>
      <c r="EZI23" s="36"/>
      <c r="EZJ23" s="36"/>
      <c r="EZK23" s="36"/>
      <c r="EZL23" s="36"/>
      <c r="EZM23" s="36"/>
      <c r="EZN23" s="36"/>
      <c r="EZO23" s="36"/>
      <c r="EZP23" s="36"/>
      <c r="EZQ23" s="36"/>
      <c r="EZR23" s="36"/>
      <c r="EZS23" s="36"/>
      <c r="EZT23" s="36"/>
      <c r="EZU23" s="36"/>
      <c r="EZV23" s="36"/>
      <c r="EZW23" s="36"/>
      <c r="EZX23" s="36"/>
      <c r="EZY23" s="36"/>
      <c r="EZZ23" s="36"/>
      <c r="FAA23" s="36"/>
      <c r="FAB23" s="36"/>
      <c r="FAC23" s="36"/>
      <c r="FAD23" s="36"/>
      <c r="FAE23" s="36"/>
      <c r="FAF23" s="36"/>
      <c r="FAG23" s="36"/>
      <c r="FAH23" s="36"/>
      <c r="FAI23" s="36"/>
      <c r="FAJ23" s="36"/>
      <c r="FAK23" s="36"/>
      <c r="FAL23" s="36"/>
      <c r="FAM23" s="36"/>
      <c r="FAN23" s="36"/>
      <c r="FAO23" s="36"/>
      <c r="FAP23" s="36"/>
      <c r="FAQ23" s="36"/>
      <c r="FAR23" s="36"/>
      <c r="FAS23" s="36"/>
      <c r="FAT23" s="36"/>
      <c r="FAU23" s="36"/>
      <c r="FAV23" s="36"/>
      <c r="FAW23" s="36"/>
      <c r="FAX23" s="36"/>
      <c r="FAY23" s="36"/>
      <c r="FAZ23" s="36"/>
      <c r="FBA23" s="36"/>
      <c r="FBB23" s="36"/>
      <c r="FBC23" s="36"/>
      <c r="FBD23" s="36"/>
      <c r="FBE23" s="36"/>
      <c r="FBF23" s="36"/>
      <c r="FBG23" s="36"/>
      <c r="FBH23" s="36"/>
      <c r="FBI23" s="36"/>
      <c r="FBJ23" s="36"/>
      <c r="FBK23" s="36"/>
      <c r="FBL23" s="36"/>
      <c r="FBM23" s="36"/>
      <c r="FBN23" s="36"/>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row>
    <row r="24" spans="1:16374">
      <c r="A24" s="36"/>
      <c r="B24" s="36" t="s">
        <v>238</v>
      </c>
      <c r="C24" s="76" t="s">
        <v>237</v>
      </c>
      <c r="D24" s="82" t="str">
        <f>INDEX(F24:H24,1,MATCH($D$4,$F$3:$H$3,0))</f>
        <v>Medium</v>
      </c>
      <c r="E24" s="36"/>
      <c r="F24" s="203" t="s">
        <v>85</v>
      </c>
      <c r="G24" s="203" t="s">
        <v>84</v>
      </c>
      <c r="H24" s="203" t="s">
        <v>83</v>
      </c>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row>
    <row r="25" spans="1:16374">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c r="ZF25" s="36"/>
      <c r="ZG25" s="36"/>
      <c r="ZH25" s="36"/>
      <c r="ZI25" s="36"/>
      <c r="ZJ25" s="36"/>
      <c r="ZK25" s="36"/>
      <c r="ZL25" s="36"/>
      <c r="ZM25" s="36"/>
      <c r="ZN25" s="36"/>
      <c r="ZO25" s="36"/>
      <c r="ZP25" s="36"/>
      <c r="ZQ25" s="36"/>
      <c r="ZR25" s="36"/>
      <c r="ZS25" s="36"/>
      <c r="ZT25" s="36"/>
      <c r="ZU25" s="36"/>
      <c r="ZV25" s="36"/>
      <c r="ZW25" s="36"/>
      <c r="ZX25" s="36"/>
      <c r="ZY25" s="36"/>
      <c r="ZZ25" s="36"/>
      <c r="AAA25" s="36"/>
      <c r="AAB25" s="36"/>
      <c r="AAC25" s="36"/>
      <c r="AAD25" s="36"/>
      <c r="AAE25" s="36"/>
      <c r="AAF25" s="36"/>
      <c r="AAG25" s="36"/>
      <c r="AAH25" s="36"/>
      <c r="AAI25" s="36"/>
      <c r="AAJ25" s="36"/>
      <c r="AAK25" s="36"/>
      <c r="AAL25" s="36"/>
      <c r="AAM25" s="36"/>
      <c r="AAN25" s="36"/>
      <c r="AAO25" s="36"/>
      <c r="AAP25" s="36"/>
      <c r="AAQ25" s="36"/>
      <c r="AAR25" s="36"/>
      <c r="AAS25" s="36"/>
      <c r="AAT25" s="36"/>
      <c r="AAU25" s="36"/>
      <c r="AAV25" s="36"/>
      <c r="AAW25" s="36"/>
      <c r="AAX25" s="36"/>
      <c r="AAY25" s="36"/>
      <c r="AAZ25" s="36"/>
      <c r="ABA25" s="36"/>
      <c r="ABB25" s="36"/>
      <c r="ABC25" s="36"/>
      <c r="ABD25" s="36"/>
      <c r="ABE25" s="36"/>
      <c r="ABF25" s="36"/>
      <c r="ABG25" s="36"/>
      <c r="ABH25" s="36"/>
      <c r="ABI25" s="36"/>
      <c r="ABJ25" s="36"/>
      <c r="ABK25" s="36"/>
      <c r="ABL25" s="36"/>
      <c r="ABM25" s="36"/>
      <c r="ABN25" s="36"/>
      <c r="ABO25" s="36"/>
      <c r="ABP25" s="36"/>
      <c r="ABQ25" s="36"/>
      <c r="ABR25" s="36"/>
      <c r="ABS25" s="36"/>
      <c r="ABT25" s="36"/>
      <c r="ABU25" s="36"/>
      <c r="ABV25" s="36"/>
      <c r="ABW25" s="36"/>
      <c r="ABX25" s="36"/>
      <c r="ABY25" s="36"/>
      <c r="ABZ25" s="36"/>
      <c r="ACA25" s="36"/>
      <c r="ACB25" s="36"/>
      <c r="ACC25" s="36"/>
      <c r="ACD25" s="36"/>
      <c r="ACE25" s="36"/>
      <c r="ACF25" s="36"/>
      <c r="ACG25" s="36"/>
      <c r="ACH25" s="36"/>
      <c r="ACI25" s="36"/>
      <c r="ACJ25" s="36"/>
      <c r="ACK25" s="36"/>
      <c r="ACL25" s="36"/>
      <c r="ACM25" s="36"/>
      <c r="ACN25" s="36"/>
      <c r="ACO25" s="36"/>
      <c r="ACP25" s="36"/>
      <c r="ACQ25" s="36"/>
      <c r="ACR25" s="36"/>
      <c r="ACS25" s="36"/>
      <c r="ACT25" s="36"/>
      <c r="ACU25" s="36"/>
      <c r="ACV25" s="36"/>
      <c r="ACW25" s="36"/>
      <c r="ACX25" s="36"/>
      <c r="ACY25" s="36"/>
      <c r="ACZ25" s="36"/>
      <c r="ADA25" s="36"/>
      <c r="ADB25" s="36"/>
      <c r="ADC25" s="36"/>
      <c r="ADD25" s="36"/>
      <c r="ADE25" s="36"/>
      <c r="ADF25" s="36"/>
      <c r="ADG25" s="36"/>
      <c r="ADH25" s="36"/>
      <c r="ADI25" s="36"/>
      <c r="ADJ25" s="36"/>
      <c r="ADK25" s="36"/>
      <c r="ADL25" s="36"/>
      <c r="ADM25" s="36"/>
      <c r="ADN25" s="36"/>
      <c r="ADO25" s="36"/>
      <c r="ADP25" s="36"/>
      <c r="ADQ25" s="36"/>
      <c r="ADR25" s="36"/>
      <c r="ADS25" s="36"/>
      <c r="ADT25" s="36"/>
      <c r="ADU25" s="36"/>
      <c r="ADV25" s="36"/>
      <c r="ADW25" s="36"/>
      <c r="ADX25" s="36"/>
      <c r="ADY25" s="36"/>
      <c r="ADZ25" s="36"/>
      <c r="AEA25" s="36"/>
      <c r="AEB25" s="36"/>
      <c r="AEC25" s="36"/>
      <c r="AED25" s="36"/>
      <c r="AEE25" s="36"/>
      <c r="AEF25" s="36"/>
      <c r="AEG25" s="36"/>
      <c r="AEH25" s="36"/>
      <c r="AEI25" s="36"/>
      <c r="AEJ25" s="36"/>
      <c r="AEK25" s="36"/>
      <c r="AEL25" s="36"/>
      <c r="AEM25" s="36"/>
      <c r="AEN25" s="36"/>
      <c r="AEO25" s="36"/>
      <c r="AEP25" s="36"/>
      <c r="AEQ25" s="36"/>
      <c r="AER25" s="36"/>
      <c r="AES25" s="36"/>
      <c r="AET25" s="36"/>
      <c r="AEU25" s="36"/>
      <c r="AEV25" s="36"/>
      <c r="AEW25" s="36"/>
      <c r="AEX25" s="36"/>
      <c r="AEY25" s="36"/>
      <c r="AEZ25" s="36"/>
      <c r="AFA25" s="36"/>
      <c r="AFB25" s="36"/>
      <c r="AFC25" s="36"/>
      <c r="AFD25" s="36"/>
      <c r="AFE25" s="36"/>
      <c r="AFF25" s="36"/>
      <c r="AFG25" s="36"/>
      <c r="AFH25" s="36"/>
      <c r="AFI25" s="36"/>
      <c r="AFJ25" s="36"/>
      <c r="AFK25" s="36"/>
      <c r="AFL25" s="36"/>
      <c r="AFM25" s="36"/>
      <c r="AFN25" s="36"/>
      <c r="AFO25" s="36"/>
      <c r="AFP25" s="36"/>
      <c r="AFQ25" s="36"/>
      <c r="AFR25" s="36"/>
      <c r="AFS25" s="36"/>
      <c r="AFT25" s="36"/>
      <c r="AFU25" s="36"/>
      <c r="AFV25" s="36"/>
      <c r="AFW25" s="36"/>
      <c r="AFX25" s="36"/>
      <c r="AFY25" s="36"/>
      <c r="AFZ25" s="36"/>
      <c r="AGA25" s="36"/>
      <c r="AGB25" s="36"/>
      <c r="AGC25" s="36"/>
      <c r="AGD25" s="36"/>
      <c r="AGE25" s="36"/>
      <c r="AGF25" s="36"/>
      <c r="AGG25" s="36"/>
      <c r="AGH25" s="36"/>
      <c r="AGI25" s="36"/>
      <c r="AGJ25" s="36"/>
      <c r="AGK25" s="36"/>
      <c r="AGL25" s="36"/>
      <c r="AGM25" s="36"/>
      <c r="AGN25" s="36"/>
      <c r="AGO25" s="36"/>
      <c r="AGP25" s="36"/>
      <c r="AGQ25" s="36"/>
      <c r="AGR25" s="36"/>
      <c r="AGS25" s="36"/>
      <c r="AGT25" s="36"/>
      <c r="AGU25" s="36"/>
      <c r="AGV25" s="36"/>
      <c r="AGW25" s="36"/>
      <c r="AGX25" s="36"/>
      <c r="AGY25" s="36"/>
      <c r="AGZ25" s="36"/>
      <c r="AHA25" s="36"/>
      <c r="AHB25" s="36"/>
      <c r="AHC25" s="36"/>
      <c r="AHD25" s="36"/>
      <c r="AHE25" s="36"/>
      <c r="AHF25" s="36"/>
      <c r="AHG25" s="36"/>
      <c r="AHH25" s="36"/>
      <c r="AHI25" s="36"/>
      <c r="AHJ25" s="36"/>
      <c r="AHK25" s="36"/>
      <c r="AHL25" s="36"/>
      <c r="AHM25" s="36"/>
      <c r="AHN25" s="36"/>
      <c r="AHO25" s="36"/>
      <c r="AHP25" s="36"/>
      <c r="AHQ25" s="36"/>
      <c r="AHR25" s="36"/>
      <c r="AHS25" s="36"/>
      <c r="AHT25" s="36"/>
      <c r="AHU25" s="36"/>
      <c r="AHV25" s="36"/>
      <c r="AHW25" s="36"/>
      <c r="AHX25" s="36"/>
      <c r="AHY25" s="36"/>
      <c r="AHZ25" s="36"/>
      <c r="AIA25" s="36"/>
      <c r="AIB25" s="36"/>
      <c r="AIC25" s="36"/>
      <c r="AID25" s="36"/>
      <c r="AIE25" s="36"/>
      <c r="AIF25" s="36"/>
      <c r="AIG25" s="36"/>
      <c r="AIH25" s="36"/>
      <c r="AII25" s="36"/>
      <c r="AIJ25" s="36"/>
      <c r="AIK25" s="36"/>
      <c r="AIL25" s="36"/>
      <c r="AIM25" s="36"/>
      <c r="AIN25" s="36"/>
      <c r="AIO25" s="36"/>
      <c r="AIP25" s="36"/>
      <c r="AIQ25" s="36"/>
      <c r="AIR25" s="36"/>
      <c r="AIS25" s="36"/>
      <c r="AIT25" s="36"/>
      <c r="AIU25" s="36"/>
      <c r="AIV25" s="36"/>
      <c r="AIW25" s="36"/>
      <c r="AIX25" s="36"/>
      <c r="AIY25" s="36"/>
      <c r="AIZ25" s="36"/>
      <c r="AJA25" s="36"/>
      <c r="AJB25" s="36"/>
      <c r="AJC25" s="36"/>
      <c r="AJD25" s="36"/>
      <c r="AJE25" s="36"/>
      <c r="AJF25" s="36"/>
      <c r="AJG25" s="36"/>
      <c r="AJH25" s="36"/>
      <c r="AJI25" s="36"/>
      <c r="AJJ25" s="36"/>
      <c r="AJK25" s="36"/>
      <c r="AJL25" s="36"/>
      <c r="AJM25" s="36"/>
      <c r="AJN25" s="36"/>
      <c r="AJO25" s="36"/>
      <c r="AJP25" s="36"/>
      <c r="AJQ25" s="36"/>
      <c r="AJR25" s="36"/>
      <c r="AJS25" s="36"/>
      <c r="AJT25" s="36"/>
      <c r="AJU25" s="36"/>
      <c r="AJV25" s="36"/>
      <c r="AJW25" s="36"/>
      <c r="AJX25" s="36"/>
      <c r="AJY25" s="36"/>
      <c r="AJZ25" s="36"/>
      <c r="AKA25" s="36"/>
      <c r="AKB25" s="36"/>
      <c r="AKC25" s="36"/>
      <c r="AKD25" s="36"/>
      <c r="AKE25" s="36"/>
      <c r="AKF25" s="36"/>
      <c r="AKG25" s="36"/>
      <c r="AKH25" s="36"/>
      <c r="AKI25" s="36"/>
      <c r="AKJ25" s="36"/>
      <c r="AKK25" s="36"/>
      <c r="AKL25" s="36"/>
      <c r="AKM25" s="36"/>
      <c r="AKN25" s="36"/>
      <c r="AKO25" s="36"/>
      <c r="AKP25" s="36"/>
      <c r="AKQ25" s="36"/>
      <c r="AKR25" s="36"/>
      <c r="AKS25" s="36"/>
      <c r="AKT25" s="36"/>
      <c r="AKU25" s="36"/>
      <c r="AKV25" s="36"/>
      <c r="AKW25" s="36"/>
      <c r="AKX25" s="36"/>
      <c r="AKY25" s="36"/>
      <c r="AKZ25" s="36"/>
      <c r="ALA25" s="36"/>
      <c r="ALB25" s="36"/>
      <c r="ALC25" s="36"/>
      <c r="ALD25" s="36"/>
      <c r="ALE25" s="36"/>
      <c r="ALF25" s="36"/>
      <c r="ALG25" s="36"/>
      <c r="ALH25" s="36"/>
      <c r="ALI25" s="36"/>
      <c r="ALJ25" s="36"/>
      <c r="ALK25" s="36"/>
      <c r="ALL25" s="36"/>
      <c r="ALM25" s="36"/>
      <c r="ALN25" s="36"/>
      <c r="ALO25" s="36"/>
      <c r="ALP25" s="36"/>
      <c r="ALQ25" s="36"/>
      <c r="ALR25" s="36"/>
      <c r="ALS25" s="36"/>
      <c r="ALT25" s="36"/>
      <c r="ALU25" s="36"/>
      <c r="ALV25" s="36"/>
      <c r="ALW25" s="36"/>
      <c r="ALX25" s="36"/>
      <c r="ALY25" s="36"/>
      <c r="ALZ25" s="36"/>
      <c r="AMA25" s="36"/>
      <c r="AMB25" s="36"/>
      <c r="AMC25" s="36"/>
      <c r="AMD25" s="36"/>
      <c r="AME25" s="36"/>
      <c r="AMF25" s="36"/>
      <c r="AMG25" s="36"/>
      <c r="AMH25" s="36"/>
      <c r="AMI25" s="36"/>
      <c r="AMJ25" s="36"/>
      <c r="AMK25" s="36"/>
      <c r="AML25" s="36"/>
      <c r="AMM25" s="36"/>
      <c r="AMN25" s="36"/>
      <c r="AMO25" s="36"/>
      <c r="AMP25" s="36"/>
      <c r="AMQ25" s="36"/>
      <c r="AMR25" s="36"/>
      <c r="AMS25" s="36"/>
      <c r="AMT25" s="36"/>
      <c r="AMU25" s="36"/>
      <c r="AMV25" s="36"/>
      <c r="AMW25" s="36"/>
      <c r="AMX25" s="36"/>
      <c r="AMY25" s="36"/>
      <c r="AMZ25" s="36"/>
      <c r="ANA25" s="36"/>
      <c r="ANB25" s="36"/>
      <c r="ANC25" s="36"/>
      <c r="AND25" s="36"/>
      <c r="ANE25" s="36"/>
      <c r="ANF25" s="36"/>
      <c r="ANG25" s="36"/>
      <c r="ANH25" s="36"/>
      <c r="ANI25" s="36"/>
      <c r="ANJ25" s="36"/>
      <c r="ANK25" s="36"/>
      <c r="ANL25" s="36"/>
      <c r="ANM25" s="36"/>
      <c r="ANN25" s="36"/>
      <c r="ANO25" s="36"/>
      <c r="ANP25" s="36"/>
      <c r="ANQ25" s="36"/>
      <c r="ANR25" s="36"/>
      <c r="ANS25" s="36"/>
      <c r="ANT25" s="36"/>
      <c r="ANU25" s="36"/>
      <c r="ANV25" s="36"/>
      <c r="ANW25" s="36"/>
      <c r="ANX25" s="36"/>
      <c r="ANY25" s="36"/>
      <c r="ANZ25" s="36"/>
      <c r="AOA25" s="36"/>
      <c r="AOB25" s="36"/>
      <c r="AOC25" s="36"/>
      <c r="AOD25" s="36"/>
      <c r="AOE25" s="36"/>
      <c r="AOF25" s="36"/>
      <c r="AOG25" s="36"/>
      <c r="AOH25" s="36"/>
      <c r="AOI25" s="36"/>
      <c r="AOJ25" s="36"/>
      <c r="AOK25" s="36"/>
      <c r="AOL25" s="36"/>
      <c r="AOM25" s="36"/>
      <c r="AON25" s="36"/>
      <c r="AOO25" s="36"/>
      <c r="AOP25" s="36"/>
      <c r="AOQ25" s="36"/>
      <c r="AOR25" s="36"/>
      <c r="AOS25" s="36"/>
      <c r="AOT25" s="36"/>
      <c r="AOU25" s="36"/>
      <c r="AOV25" s="36"/>
      <c r="AOW25" s="36"/>
      <c r="AOX25" s="36"/>
      <c r="AOY25" s="36"/>
      <c r="AOZ25" s="36"/>
      <c r="APA25" s="36"/>
      <c r="APB25" s="36"/>
      <c r="APC25" s="36"/>
      <c r="APD25" s="36"/>
      <c r="APE25" s="36"/>
      <c r="APF25" s="36"/>
      <c r="APG25" s="36"/>
      <c r="APH25" s="36"/>
      <c r="API25" s="36"/>
      <c r="APJ25" s="36"/>
      <c r="APK25" s="36"/>
      <c r="APL25" s="36"/>
      <c r="APM25" s="36"/>
      <c r="APN25" s="36"/>
      <c r="APO25" s="36"/>
      <c r="APP25" s="36"/>
      <c r="APQ25" s="36"/>
      <c r="APR25" s="36"/>
      <c r="APS25" s="36"/>
      <c r="APT25" s="36"/>
      <c r="APU25" s="36"/>
      <c r="APV25" s="36"/>
      <c r="APW25" s="36"/>
      <c r="APX25" s="36"/>
      <c r="APY25" s="36"/>
      <c r="APZ25" s="36"/>
      <c r="AQA25" s="36"/>
      <c r="AQB25" s="36"/>
      <c r="AQC25" s="36"/>
      <c r="AQD25" s="36"/>
      <c r="AQE25" s="36"/>
      <c r="AQF25" s="36"/>
      <c r="AQG25" s="36"/>
      <c r="AQH25" s="36"/>
      <c r="AQI25" s="36"/>
      <c r="AQJ25" s="36"/>
      <c r="AQK25" s="36"/>
      <c r="AQL25" s="36"/>
      <c r="AQM25" s="36"/>
      <c r="AQN25" s="36"/>
      <c r="AQO25" s="36"/>
      <c r="AQP25" s="36"/>
      <c r="AQQ25" s="36"/>
      <c r="AQR25" s="36"/>
      <c r="AQS25" s="36"/>
      <c r="AQT25" s="36"/>
      <c r="AQU25" s="36"/>
      <c r="AQV25" s="36"/>
      <c r="AQW25" s="36"/>
      <c r="AQX25" s="36"/>
      <c r="AQY25" s="36"/>
      <c r="AQZ25" s="36"/>
      <c r="ARA25" s="36"/>
      <c r="ARB25" s="36"/>
      <c r="ARC25" s="36"/>
      <c r="ARD25" s="36"/>
      <c r="ARE25" s="36"/>
      <c r="ARF25" s="36"/>
      <c r="ARG25" s="36"/>
      <c r="ARH25" s="36"/>
      <c r="ARI25" s="36"/>
      <c r="ARJ25" s="36"/>
      <c r="ARK25" s="36"/>
      <c r="ARL25" s="36"/>
      <c r="ARM25" s="36"/>
      <c r="ARN25" s="36"/>
      <c r="ARO25" s="36"/>
      <c r="ARP25" s="36"/>
      <c r="ARQ25" s="36"/>
      <c r="ARR25" s="36"/>
      <c r="ARS25" s="36"/>
      <c r="ART25" s="36"/>
      <c r="ARU25" s="36"/>
      <c r="ARV25" s="36"/>
      <c r="ARW25" s="36"/>
      <c r="ARX25" s="36"/>
      <c r="ARY25" s="36"/>
      <c r="ARZ25" s="36"/>
      <c r="ASA25" s="36"/>
      <c r="ASB25" s="36"/>
      <c r="ASC25" s="36"/>
      <c r="ASD25" s="36"/>
      <c r="ASE25" s="36"/>
      <c r="ASF25" s="36"/>
      <c r="ASG25" s="36"/>
      <c r="ASH25" s="36"/>
      <c r="ASI25" s="36"/>
      <c r="ASJ25" s="36"/>
      <c r="ASK25" s="36"/>
      <c r="ASL25" s="36"/>
      <c r="ASM25" s="36"/>
      <c r="ASN25" s="36"/>
      <c r="ASO25" s="36"/>
      <c r="ASP25" s="36"/>
      <c r="ASQ25" s="36"/>
      <c r="ASR25" s="36"/>
      <c r="ASS25" s="36"/>
      <c r="AST25" s="36"/>
      <c r="ASU25" s="36"/>
      <c r="ASV25" s="36"/>
      <c r="ASW25" s="36"/>
      <c r="ASX25" s="36"/>
      <c r="ASY25" s="36"/>
      <c r="ASZ25" s="36"/>
      <c r="ATA25" s="36"/>
      <c r="ATB25" s="36"/>
      <c r="ATC25" s="36"/>
      <c r="ATD25" s="36"/>
      <c r="ATE25" s="36"/>
      <c r="ATF25" s="36"/>
      <c r="ATG25" s="36"/>
      <c r="ATH25" s="36"/>
      <c r="ATI25" s="36"/>
      <c r="ATJ25" s="36"/>
      <c r="ATK25" s="36"/>
      <c r="ATL25" s="36"/>
      <c r="ATM25" s="36"/>
      <c r="ATN25" s="36"/>
      <c r="ATO25" s="36"/>
      <c r="ATP25" s="36"/>
      <c r="ATQ25" s="36"/>
      <c r="ATR25" s="36"/>
      <c r="ATS25" s="36"/>
      <c r="ATT25" s="36"/>
      <c r="ATU25" s="36"/>
      <c r="ATV25" s="36"/>
      <c r="ATW25" s="36"/>
      <c r="ATX25" s="36"/>
      <c r="ATY25" s="36"/>
      <c r="ATZ25" s="36"/>
      <c r="AUA25" s="36"/>
      <c r="AUB25" s="36"/>
      <c r="AUC25" s="36"/>
      <c r="AUD25" s="36"/>
      <c r="AUE25" s="36"/>
      <c r="AUF25" s="36"/>
      <c r="AUG25" s="36"/>
      <c r="AUH25" s="36"/>
      <c r="AUI25" s="36"/>
      <c r="AUJ25" s="36"/>
      <c r="AUK25" s="36"/>
      <c r="AUL25" s="36"/>
      <c r="AUM25" s="36"/>
      <c r="AUN25" s="36"/>
      <c r="AUO25" s="36"/>
      <c r="AUP25" s="36"/>
      <c r="AUQ25" s="36"/>
      <c r="AUR25" s="36"/>
      <c r="AUS25" s="36"/>
      <c r="AUT25" s="36"/>
      <c r="AUU25" s="36"/>
      <c r="AUV25" s="36"/>
      <c r="AUW25" s="36"/>
      <c r="AUX25" s="36"/>
      <c r="AUY25" s="36"/>
      <c r="AUZ25" s="36"/>
      <c r="AVA25" s="36"/>
      <c r="AVB25" s="36"/>
      <c r="AVC25" s="36"/>
      <c r="AVD25" s="36"/>
      <c r="AVE25" s="36"/>
      <c r="AVF25" s="36"/>
      <c r="AVG25" s="36"/>
      <c r="AVH25" s="36"/>
      <c r="AVI25" s="36"/>
      <c r="AVJ25" s="36"/>
      <c r="AVK25" s="36"/>
      <c r="AVL25" s="36"/>
      <c r="AVM25" s="36"/>
      <c r="AVN25" s="36"/>
      <c r="AVO25" s="36"/>
      <c r="AVP25" s="36"/>
      <c r="AVQ25" s="36"/>
      <c r="AVR25" s="36"/>
      <c r="AVS25" s="36"/>
      <c r="AVT25" s="36"/>
      <c r="AVU25" s="36"/>
      <c r="AVV25" s="36"/>
      <c r="AVW25" s="36"/>
      <c r="AVX25" s="36"/>
      <c r="AVY25" s="36"/>
      <c r="AVZ25" s="36"/>
      <c r="AWA25" s="36"/>
      <c r="AWB25" s="36"/>
      <c r="AWC25" s="36"/>
      <c r="AWD25" s="36"/>
      <c r="AWE25" s="36"/>
      <c r="AWF25" s="36"/>
      <c r="AWG25" s="36"/>
      <c r="AWH25" s="36"/>
      <c r="AWI25" s="36"/>
      <c r="AWJ25" s="36"/>
      <c r="AWK25" s="36"/>
      <c r="AWL25" s="36"/>
      <c r="AWM25" s="36"/>
      <c r="AWN25" s="36"/>
      <c r="AWO25" s="36"/>
      <c r="AWP25" s="36"/>
      <c r="AWQ25" s="36"/>
      <c r="AWR25" s="36"/>
      <c r="AWS25" s="36"/>
      <c r="AWT25" s="36"/>
      <c r="AWU25" s="36"/>
      <c r="AWV25" s="36"/>
      <c r="AWW25" s="36"/>
      <c r="AWX25" s="36"/>
      <c r="AWY25" s="36"/>
      <c r="AWZ25" s="36"/>
      <c r="AXA25" s="36"/>
      <c r="AXB25" s="36"/>
      <c r="AXC25" s="36"/>
      <c r="AXD25" s="36"/>
      <c r="AXE25" s="36"/>
      <c r="AXF25" s="36"/>
      <c r="AXG25" s="36"/>
      <c r="AXH25" s="36"/>
      <c r="AXI25" s="36"/>
      <c r="AXJ25" s="36"/>
      <c r="AXK25" s="36"/>
      <c r="AXL25" s="36"/>
      <c r="AXM25" s="36"/>
      <c r="AXN25" s="36"/>
      <c r="AXO25" s="36"/>
      <c r="AXP25" s="36"/>
      <c r="AXQ25" s="36"/>
      <c r="AXR25" s="36"/>
      <c r="AXS25" s="36"/>
      <c r="AXT25" s="36"/>
      <c r="AXU25" s="36"/>
      <c r="AXV25" s="36"/>
      <c r="AXW25" s="36"/>
      <c r="AXX25" s="36"/>
      <c r="AXY25" s="36"/>
      <c r="AXZ25" s="36"/>
      <c r="AYA25" s="36"/>
      <c r="AYB25" s="36"/>
      <c r="AYC25" s="36"/>
      <c r="AYD25" s="36"/>
      <c r="AYE25" s="36"/>
      <c r="AYF25" s="36"/>
      <c r="AYG25" s="36"/>
      <c r="AYH25" s="36"/>
      <c r="AYI25" s="36"/>
      <c r="AYJ25" s="36"/>
      <c r="AYK25" s="36"/>
      <c r="AYL25" s="36"/>
      <c r="AYM25" s="36"/>
      <c r="AYN25" s="36"/>
      <c r="AYO25" s="36"/>
      <c r="AYP25" s="36"/>
      <c r="AYQ25" s="36"/>
      <c r="AYR25" s="36"/>
      <c r="AYS25" s="36"/>
      <c r="AYT25" s="36"/>
      <c r="AYU25" s="36"/>
      <c r="AYV25" s="36"/>
      <c r="AYW25" s="36"/>
      <c r="AYX25" s="36"/>
      <c r="AYY25" s="36"/>
      <c r="AYZ25" s="36"/>
      <c r="AZA25" s="36"/>
      <c r="AZB25" s="36"/>
      <c r="AZC25" s="36"/>
      <c r="AZD25" s="36"/>
      <c r="AZE25" s="36"/>
      <c r="AZF25" s="36"/>
      <c r="AZG25" s="36"/>
      <c r="AZH25" s="36"/>
      <c r="AZI25" s="36"/>
      <c r="AZJ25" s="36"/>
      <c r="AZK25" s="36"/>
      <c r="AZL25" s="36"/>
      <c r="AZM25" s="36"/>
      <c r="AZN25" s="36"/>
      <c r="AZO25" s="36"/>
      <c r="AZP25" s="36"/>
      <c r="AZQ25" s="36"/>
      <c r="AZR25" s="36"/>
      <c r="AZS25" s="36"/>
      <c r="AZT25" s="36"/>
      <c r="AZU25" s="36"/>
      <c r="AZV25" s="36"/>
      <c r="AZW25" s="36"/>
      <c r="AZX25" s="36"/>
      <c r="AZY25" s="36"/>
      <c r="AZZ25" s="36"/>
      <c r="BAA25" s="36"/>
      <c r="BAB25" s="36"/>
      <c r="BAC25" s="36"/>
      <c r="BAD25" s="36"/>
      <c r="BAE25" s="36"/>
      <c r="BAF25" s="36"/>
      <c r="BAG25" s="36"/>
      <c r="BAH25" s="36"/>
      <c r="BAI25" s="36"/>
      <c r="BAJ25" s="36"/>
      <c r="BAK25" s="36"/>
      <c r="BAL25" s="36"/>
      <c r="BAM25" s="36"/>
      <c r="BAN25" s="36"/>
      <c r="BAO25" s="36"/>
      <c r="BAP25" s="36"/>
      <c r="BAQ25" s="36"/>
      <c r="BAR25" s="36"/>
      <c r="BAS25" s="36"/>
      <c r="BAT25" s="36"/>
      <c r="BAU25" s="36"/>
      <c r="BAV25" s="36"/>
      <c r="BAW25" s="36"/>
      <c r="BAX25" s="36"/>
      <c r="BAY25" s="36"/>
      <c r="BAZ25" s="36"/>
      <c r="BBA25" s="36"/>
      <c r="BBB25" s="36"/>
      <c r="BBC25" s="36"/>
      <c r="BBD25" s="36"/>
      <c r="BBE25" s="36"/>
      <c r="BBF25" s="36"/>
      <c r="BBG25" s="36"/>
      <c r="BBH25" s="36"/>
      <c r="BBI25" s="36"/>
      <c r="BBJ25" s="36"/>
      <c r="BBK25" s="36"/>
      <c r="BBL25" s="36"/>
      <c r="BBM25" s="36"/>
      <c r="BBN25" s="36"/>
      <c r="BBO25" s="36"/>
      <c r="BBP25" s="36"/>
      <c r="BBQ25" s="36"/>
      <c r="BBR25" s="36"/>
      <c r="BBS25" s="36"/>
      <c r="BBT25" s="36"/>
      <c r="BBU25" s="36"/>
      <c r="BBV25" s="36"/>
      <c r="BBW25" s="36"/>
      <c r="BBX25" s="36"/>
      <c r="BBY25" s="36"/>
      <c r="BBZ25" s="36"/>
      <c r="BCA25" s="36"/>
      <c r="BCB25" s="36"/>
      <c r="BCC25" s="36"/>
      <c r="BCD25" s="36"/>
      <c r="BCE25" s="36"/>
      <c r="BCF25" s="36"/>
      <c r="BCG25" s="36"/>
      <c r="BCH25" s="36"/>
      <c r="BCI25" s="36"/>
      <c r="BCJ25" s="36"/>
      <c r="BCK25" s="36"/>
      <c r="BCL25" s="36"/>
      <c r="BCM25" s="36"/>
      <c r="BCN25" s="36"/>
      <c r="BCO25" s="36"/>
      <c r="BCP25" s="36"/>
      <c r="BCQ25" s="36"/>
      <c r="BCR25" s="36"/>
      <c r="BCS25" s="36"/>
      <c r="BCT25" s="36"/>
      <c r="BCU25" s="36"/>
      <c r="BCV25" s="36"/>
      <c r="BCW25" s="36"/>
      <c r="BCX25" s="36"/>
      <c r="BCY25" s="36"/>
      <c r="BCZ25" s="36"/>
      <c r="BDA25" s="36"/>
      <c r="BDB25" s="36"/>
      <c r="BDC25" s="36"/>
      <c r="BDD25" s="36"/>
      <c r="BDE25" s="36"/>
      <c r="BDF25" s="36"/>
      <c r="BDG25" s="36"/>
      <c r="BDH25" s="36"/>
      <c r="BDI25" s="36"/>
      <c r="BDJ25" s="36"/>
      <c r="BDK25" s="36"/>
      <c r="BDL25" s="36"/>
      <c r="BDM25" s="36"/>
      <c r="BDN25" s="36"/>
      <c r="BDO25" s="36"/>
      <c r="BDP25" s="36"/>
      <c r="BDQ25" s="36"/>
      <c r="BDR25" s="36"/>
      <c r="BDS25" s="36"/>
      <c r="BDT25" s="36"/>
      <c r="BDU25" s="36"/>
      <c r="BDV25" s="36"/>
      <c r="BDW25" s="36"/>
      <c r="BDX25" s="36"/>
      <c r="BDY25" s="36"/>
      <c r="BDZ25" s="36"/>
      <c r="BEA25" s="36"/>
      <c r="BEB25" s="36"/>
      <c r="BEC25" s="36"/>
      <c r="BED25" s="36"/>
      <c r="BEE25" s="36"/>
      <c r="BEF25" s="36"/>
      <c r="BEG25" s="36"/>
      <c r="BEH25" s="36"/>
      <c r="BEI25" s="36"/>
      <c r="BEJ25" s="36"/>
      <c r="BEK25" s="36"/>
      <c r="BEL25" s="36"/>
      <c r="BEM25" s="36"/>
      <c r="BEN25" s="36"/>
      <c r="BEO25" s="36"/>
      <c r="BEP25" s="36"/>
      <c r="BEQ25" s="36"/>
      <c r="BER25" s="36"/>
      <c r="BES25" s="36"/>
      <c r="BET25" s="36"/>
      <c r="BEU25" s="36"/>
      <c r="BEV25" s="36"/>
      <c r="BEW25" s="36"/>
      <c r="BEX25" s="36"/>
      <c r="BEY25" s="36"/>
      <c r="BEZ25" s="36"/>
      <c r="BFA25" s="36"/>
      <c r="BFB25" s="36"/>
      <c r="BFC25" s="36"/>
      <c r="BFD25" s="36"/>
      <c r="BFE25" s="36"/>
      <c r="BFF25" s="36"/>
      <c r="BFG25" s="36"/>
      <c r="BFH25" s="36"/>
      <c r="BFI25" s="36"/>
      <c r="BFJ25" s="36"/>
      <c r="BFK25" s="36"/>
      <c r="BFL25" s="36"/>
      <c r="BFM25" s="36"/>
      <c r="BFN25" s="36"/>
      <c r="BFO25" s="36"/>
      <c r="BFP25" s="36"/>
      <c r="BFQ25" s="36"/>
      <c r="BFR25" s="36"/>
      <c r="BFS25" s="36"/>
      <c r="BFT25" s="36"/>
      <c r="BFU25" s="36"/>
      <c r="BFV25" s="36"/>
      <c r="BFW25" s="36"/>
      <c r="BFX25" s="36"/>
      <c r="BFY25" s="36"/>
      <c r="BFZ25" s="36"/>
      <c r="BGA25" s="36"/>
      <c r="BGB25" s="36"/>
      <c r="BGC25" s="36"/>
      <c r="BGD25" s="36"/>
      <c r="BGE25" s="36"/>
      <c r="BGF25" s="36"/>
      <c r="BGG25" s="36"/>
      <c r="BGH25" s="36"/>
      <c r="BGI25" s="36"/>
      <c r="BGJ25" s="36"/>
      <c r="BGK25" s="36"/>
      <c r="BGL25" s="36"/>
      <c r="BGM25" s="36"/>
      <c r="BGN25" s="36"/>
      <c r="BGO25" s="36"/>
      <c r="BGP25" s="36"/>
      <c r="BGQ25" s="36"/>
      <c r="BGR25" s="36"/>
      <c r="BGS25" s="36"/>
      <c r="BGT25" s="36"/>
      <c r="BGU25" s="36"/>
      <c r="BGV25" s="36"/>
      <c r="BGW25" s="36"/>
      <c r="BGX25" s="36"/>
      <c r="BGY25" s="36"/>
      <c r="BGZ25" s="36"/>
      <c r="BHA25" s="36"/>
      <c r="BHB25" s="36"/>
      <c r="BHC25" s="36"/>
      <c r="BHD25" s="36"/>
      <c r="BHE25" s="36"/>
      <c r="BHF25" s="36"/>
      <c r="BHG25" s="36"/>
      <c r="BHH25" s="36"/>
      <c r="BHI25" s="36"/>
      <c r="BHJ25" s="36"/>
      <c r="BHK25" s="36"/>
      <c r="BHL25" s="36"/>
      <c r="BHM25" s="36"/>
      <c r="BHN25" s="36"/>
      <c r="BHO25" s="36"/>
      <c r="BHP25" s="36"/>
      <c r="BHQ25" s="36"/>
      <c r="BHR25" s="36"/>
      <c r="BHS25" s="36"/>
      <c r="BHT25" s="36"/>
      <c r="BHU25" s="36"/>
      <c r="BHV25" s="36"/>
      <c r="BHW25" s="36"/>
      <c r="BHX25" s="36"/>
      <c r="BHY25" s="36"/>
      <c r="BHZ25" s="36"/>
      <c r="BIA25" s="36"/>
      <c r="BIB25" s="36"/>
      <c r="BIC25" s="36"/>
      <c r="BID25" s="36"/>
      <c r="BIE25" s="36"/>
      <c r="BIF25" s="36"/>
      <c r="BIG25" s="36"/>
      <c r="BIH25" s="36"/>
      <c r="BII25" s="36"/>
      <c r="BIJ25" s="36"/>
      <c r="BIK25" s="36"/>
      <c r="BIL25" s="36"/>
      <c r="BIM25" s="36"/>
      <c r="BIN25" s="36"/>
      <c r="BIO25" s="36"/>
      <c r="BIP25" s="36"/>
      <c r="BIQ25" s="36"/>
      <c r="BIR25" s="36"/>
      <c r="BIS25" s="36"/>
      <c r="BIT25" s="36"/>
      <c r="BIU25" s="36"/>
      <c r="BIV25" s="36"/>
      <c r="BIW25" s="36"/>
      <c r="BIX25" s="36"/>
      <c r="BIY25" s="36"/>
      <c r="BIZ25" s="36"/>
      <c r="BJA25" s="36"/>
      <c r="BJB25" s="36"/>
      <c r="BJC25" s="36"/>
      <c r="BJD25" s="36"/>
      <c r="BJE25" s="36"/>
      <c r="BJF25" s="36"/>
      <c r="BJG25" s="36"/>
      <c r="BJH25" s="36"/>
      <c r="BJI25" s="36"/>
      <c r="BJJ25" s="36"/>
      <c r="BJK25" s="36"/>
      <c r="BJL25" s="36"/>
      <c r="BJM25" s="36"/>
      <c r="BJN25" s="36"/>
      <c r="BJO25" s="36"/>
      <c r="BJP25" s="36"/>
      <c r="BJQ25" s="36"/>
      <c r="BJR25" s="36"/>
      <c r="BJS25" s="36"/>
      <c r="BJT25" s="36"/>
      <c r="BJU25" s="36"/>
      <c r="BJV25" s="36"/>
      <c r="BJW25" s="36"/>
      <c r="BJX25" s="36"/>
      <c r="BJY25" s="36"/>
      <c r="BJZ25" s="36"/>
      <c r="BKA25" s="36"/>
      <c r="BKB25" s="36"/>
      <c r="BKC25" s="36"/>
      <c r="BKD25" s="36"/>
      <c r="BKE25" s="36"/>
      <c r="BKF25" s="36"/>
      <c r="BKG25" s="36"/>
      <c r="BKH25" s="36"/>
      <c r="BKI25" s="36"/>
      <c r="BKJ25" s="36"/>
      <c r="BKK25" s="36"/>
      <c r="BKL25" s="36"/>
      <c r="BKM25" s="36"/>
      <c r="BKN25" s="36"/>
      <c r="BKO25" s="36"/>
      <c r="BKP25" s="36"/>
      <c r="BKQ25" s="36"/>
      <c r="BKR25" s="36"/>
      <c r="BKS25" s="36"/>
      <c r="BKT25" s="36"/>
      <c r="BKU25" s="36"/>
      <c r="BKV25" s="36"/>
      <c r="BKW25" s="36"/>
      <c r="BKX25" s="36"/>
      <c r="BKY25" s="36"/>
      <c r="BKZ25" s="36"/>
      <c r="BLA25" s="36"/>
      <c r="BLB25" s="36"/>
      <c r="BLC25" s="36"/>
      <c r="BLD25" s="36"/>
      <c r="BLE25" s="36"/>
      <c r="BLF25" s="36"/>
      <c r="BLG25" s="36"/>
      <c r="BLH25" s="36"/>
      <c r="BLI25" s="36"/>
      <c r="BLJ25" s="36"/>
      <c r="BLK25" s="36"/>
      <c r="BLL25" s="36"/>
      <c r="BLM25" s="36"/>
      <c r="BLN25" s="36"/>
      <c r="BLO25" s="36"/>
      <c r="BLP25" s="36"/>
      <c r="BLQ25" s="36"/>
      <c r="BLR25" s="36"/>
      <c r="BLS25" s="36"/>
      <c r="BLT25" s="36"/>
      <c r="BLU25" s="36"/>
      <c r="BLV25" s="36"/>
      <c r="BLW25" s="36"/>
      <c r="BLX25" s="36"/>
      <c r="BLY25" s="36"/>
      <c r="BLZ25" s="36"/>
      <c r="BMA25" s="36"/>
      <c r="BMB25" s="36"/>
      <c r="BMC25" s="36"/>
      <c r="BMD25" s="36"/>
      <c r="BME25" s="36"/>
      <c r="BMF25" s="36"/>
      <c r="BMG25" s="36"/>
      <c r="BMH25" s="36"/>
      <c r="BMI25" s="36"/>
      <c r="BMJ25" s="36"/>
      <c r="BMK25" s="36"/>
      <c r="BML25" s="36"/>
      <c r="BMM25" s="36"/>
      <c r="BMN25" s="36"/>
      <c r="BMO25" s="36"/>
      <c r="BMP25" s="36"/>
      <c r="BMQ25" s="36"/>
      <c r="BMR25" s="36"/>
      <c r="BMS25" s="36"/>
      <c r="BMT25" s="36"/>
      <c r="BMU25" s="36"/>
      <c r="BMV25" s="36"/>
      <c r="BMW25" s="36"/>
      <c r="BMX25" s="36"/>
      <c r="BMY25" s="36"/>
      <c r="BMZ25" s="36"/>
      <c r="BNA25" s="36"/>
      <c r="BNB25" s="36"/>
      <c r="BNC25" s="36"/>
      <c r="BND25" s="36"/>
      <c r="BNE25" s="36"/>
      <c r="BNF25" s="36"/>
      <c r="BNG25" s="36"/>
      <c r="BNH25" s="36"/>
      <c r="BNI25" s="36"/>
      <c r="BNJ25" s="36"/>
      <c r="BNK25" s="36"/>
      <c r="BNL25" s="36"/>
      <c r="BNM25" s="36"/>
      <c r="BNN25" s="36"/>
      <c r="BNO25" s="36"/>
      <c r="BNP25" s="36"/>
      <c r="BNQ25" s="36"/>
      <c r="BNR25" s="36"/>
      <c r="BNS25" s="36"/>
      <c r="BNT25" s="36"/>
      <c r="BNU25" s="36"/>
      <c r="BNV25" s="36"/>
      <c r="BNW25" s="36"/>
      <c r="BNX25" s="36"/>
      <c r="BNY25" s="36"/>
      <c r="BNZ25" s="36"/>
      <c r="BOA25" s="36"/>
      <c r="BOB25" s="36"/>
      <c r="BOC25" s="36"/>
      <c r="BOD25" s="36"/>
      <c r="BOE25" s="36"/>
      <c r="BOF25" s="36"/>
      <c r="BOG25" s="36"/>
      <c r="BOH25" s="36"/>
      <c r="BOI25" s="36"/>
      <c r="BOJ25" s="36"/>
      <c r="BOK25" s="36"/>
      <c r="BOL25" s="36"/>
      <c r="BOM25" s="36"/>
      <c r="BON25" s="36"/>
      <c r="BOO25" s="36"/>
      <c r="BOP25" s="36"/>
      <c r="BOQ25" s="36"/>
      <c r="BOR25" s="36"/>
      <c r="BOS25" s="36"/>
      <c r="BOT25" s="36"/>
      <c r="BOU25" s="36"/>
      <c r="BOV25" s="36"/>
      <c r="BOW25" s="36"/>
      <c r="BOX25" s="36"/>
      <c r="BOY25" s="36"/>
      <c r="BOZ25" s="36"/>
      <c r="BPA25" s="36"/>
      <c r="BPB25" s="36"/>
      <c r="BPC25" s="36"/>
      <c r="BPD25" s="36"/>
      <c r="BPE25" s="36"/>
      <c r="BPF25" s="36"/>
      <c r="BPG25" s="36"/>
      <c r="BPH25" s="36"/>
      <c r="BPI25" s="36"/>
      <c r="BPJ25" s="36"/>
      <c r="BPK25" s="36"/>
      <c r="BPL25" s="36"/>
      <c r="BPM25" s="36"/>
      <c r="BPN25" s="36"/>
      <c r="BPO25" s="36"/>
      <c r="BPP25" s="36"/>
      <c r="BPQ25" s="36"/>
      <c r="BPR25" s="36"/>
      <c r="BPS25" s="36"/>
      <c r="BPT25" s="36"/>
      <c r="BPU25" s="36"/>
      <c r="BPV25" s="36"/>
      <c r="BPW25" s="36"/>
      <c r="BPX25" s="36"/>
      <c r="BPY25" s="36"/>
      <c r="BPZ25" s="36"/>
      <c r="BQA25" s="36"/>
      <c r="BQB25" s="36"/>
      <c r="BQC25" s="36"/>
      <c r="BQD25" s="36"/>
      <c r="BQE25" s="36"/>
      <c r="BQF25" s="36"/>
      <c r="BQG25" s="36"/>
      <c r="BQH25" s="36"/>
      <c r="BQI25" s="36"/>
      <c r="BQJ25" s="36"/>
      <c r="BQK25" s="36"/>
      <c r="BQL25" s="36"/>
      <c r="BQM25" s="36"/>
      <c r="BQN25" s="36"/>
      <c r="BQO25" s="36"/>
      <c r="BQP25" s="36"/>
      <c r="BQQ25" s="36"/>
      <c r="BQR25" s="36"/>
      <c r="BQS25" s="36"/>
      <c r="BQT25" s="36"/>
      <c r="BQU25" s="36"/>
      <c r="BQV25" s="36"/>
      <c r="BQW25" s="36"/>
      <c r="BQX25" s="36"/>
      <c r="BQY25" s="36"/>
      <c r="BQZ25" s="36"/>
      <c r="BRA25" s="36"/>
      <c r="BRB25" s="36"/>
      <c r="BRC25" s="36"/>
      <c r="BRD25" s="36"/>
      <c r="BRE25" s="36"/>
      <c r="BRF25" s="36"/>
      <c r="BRG25" s="36"/>
      <c r="BRH25" s="36"/>
      <c r="BRI25" s="36"/>
      <c r="BRJ25" s="36"/>
      <c r="BRK25" s="36"/>
      <c r="BRL25" s="36"/>
      <c r="BRM25" s="36"/>
      <c r="BRN25" s="36"/>
      <c r="BRO25" s="36"/>
      <c r="BRP25" s="36"/>
      <c r="BRQ25" s="36"/>
      <c r="BRR25" s="36"/>
      <c r="BRS25" s="36"/>
      <c r="BRT25" s="36"/>
      <c r="BRU25" s="36"/>
      <c r="BRV25" s="36"/>
      <c r="BRW25" s="36"/>
      <c r="BRX25" s="36"/>
      <c r="BRY25" s="36"/>
      <c r="BRZ25" s="36"/>
      <c r="BSA25" s="36"/>
      <c r="BSB25" s="36"/>
      <c r="BSC25" s="36"/>
      <c r="BSD25" s="36"/>
      <c r="BSE25" s="36"/>
      <c r="BSF25" s="36"/>
      <c r="BSG25" s="36"/>
      <c r="BSH25" s="36"/>
      <c r="BSI25" s="36"/>
      <c r="BSJ25" s="36"/>
      <c r="BSK25" s="36"/>
      <c r="BSL25" s="36"/>
      <c r="BSM25" s="36"/>
      <c r="BSN25" s="36"/>
      <c r="BSO25" s="36"/>
      <c r="BSP25" s="36"/>
      <c r="BSQ25" s="36"/>
      <c r="BSR25" s="36"/>
      <c r="BSS25" s="36"/>
      <c r="BST25" s="36"/>
      <c r="BSU25" s="36"/>
      <c r="BSV25" s="36"/>
      <c r="BSW25" s="36"/>
      <c r="BSX25" s="36"/>
      <c r="BSY25" s="36"/>
      <c r="BSZ25" s="36"/>
      <c r="BTA25" s="36"/>
      <c r="BTB25" s="36"/>
      <c r="BTC25" s="36"/>
      <c r="BTD25" s="36"/>
      <c r="BTE25" s="36"/>
      <c r="BTF25" s="36"/>
      <c r="BTG25" s="36"/>
      <c r="BTH25" s="36"/>
      <c r="BTI25" s="36"/>
      <c r="BTJ25" s="36"/>
      <c r="BTK25" s="36"/>
      <c r="BTL25" s="36"/>
      <c r="BTM25" s="36"/>
      <c r="BTN25" s="36"/>
      <c r="BTO25" s="36"/>
      <c r="BTP25" s="36"/>
      <c r="BTQ25" s="36"/>
      <c r="BTR25" s="36"/>
      <c r="BTS25" s="36"/>
      <c r="BTT25" s="36"/>
      <c r="BTU25" s="36"/>
      <c r="BTV25" s="36"/>
      <c r="BTW25" s="36"/>
      <c r="BTX25" s="36"/>
      <c r="BTY25" s="36"/>
      <c r="BTZ25" s="36"/>
      <c r="BUA25" s="36"/>
      <c r="BUB25" s="36"/>
      <c r="BUC25" s="36"/>
      <c r="BUD25" s="36"/>
      <c r="BUE25" s="36"/>
      <c r="BUF25" s="36"/>
      <c r="BUG25" s="36"/>
      <c r="BUH25" s="36"/>
      <c r="BUI25" s="36"/>
      <c r="BUJ25" s="36"/>
      <c r="BUK25" s="36"/>
      <c r="BUL25" s="36"/>
      <c r="BUM25" s="36"/>
      <c r="BUN25" s="36"/>
      <c r="BUO25" s="36"/>
      <c r="BUP25" s="36"/>
      <c r="BUQ25" s="36"/>
      <c r="BUR25" s="36"/>
      <c r="BUS25" s="36"/>
      <c r="BUT25" s="36"/>
      <c r="BUU25" s="36"/>
      <c r="BUV25" s="36"/>
      <c r="BUW25" s="36"/>
      <c r="BUX25" s="36"/>
      <c r="BUY25" s="36"/>
      <c r="BUZ25" s="36"/>
      <c r="BVA25" s="36"/>
      <c r="BVB25" s="36"/>
      <c r="BVC25" s="36"/>
      <c r="BVD25" s="36"/>
      <c r="BVE25" s="36"/>
      <c r="BVF25" s="36"/>
      <c r="BVG25" s="36"/>
      <c r="BVH25" s="36"/>
      <c r="BVI25" s="36"/>
      <c r="BVJ25" s="36"/>
      <c r="BVK25" s="36"/>
      <c r="BVL25" s="36"/>
      <c r="BVM25" s="36"/>
      <c r="BVN25" s="36"/>
      <c r="BVO25" s="36"/>
      <c r="BVP25" s="36"/>
      <c r="BVQ25" s="36"/>
      <c r="BVR25" s="36"/>
      <c r="BVS25" s="36"/>
      <c r="BVT25" s="36"/>
      <c r="BVU25" s="36"/>
      <c r="BVV25" s="36"/>
      <c r="BVW25" s="36"/>
      <c r="BVX25" s="36"/>
      <c r="BVY25" s="36"/>
      <c r="BVZ25" s="36"/>
      <c r="BWA25" s="36"/>
      <c r="BWB25" s="36"/>
      <c r="BWC25" s="36"/>
      <c r="BWD25" s="36"/>
      <c r="BWE25" s="36"/>
      <c r="BWF25" s="36"/>
      <c r="BWG25" s="36"/>
      <c r="BWH25" s="36"/>
      <c r="BWI25" s="36"/>
      <c r="BWJ25" s="36"/>
      <c r="BWK25" s="36"/>
      <c r="BWL25" s="36"/>
      <c r="BWM25" s="36"/>
      <c r="BWN25" s="36"/>
      <c r="BWO25" s="36"/>
      <c r="BWP25" s="36"/>
      <c r="BWQ25" s="36"/>
      <c r="BWR25" s="36"/>
      <c r="BWS25" s="36"/>
      <c r="BWT25" s="36"/>
      <c r="BWU25" s="36"/>
      <c r="BWV25" s="36"/>
      <c r="BWW25" s="36"/>
      <c r="BWX25" s="36"/>
      <c r="BWY25" s="36"/>
      <c r="BWZ25" s="36"/>
      <c r="BXA25" s="36"/>
      <c r="BXB25" s="36"/>
      <c r="BXC25" s="36"/>
      <c r="BXD25" s="36"/>
      <c r="BXE25" s="36"/>
      <c r="BXF25" s="36"/>
      <c r="BXG25" s="36"/>
      <c r="BXH25" s="36"/>
      <c r="BXI25" s="36"/>
      <c r="BXJ25" s="36"/>
      <c r="BXK25" s="36"/>
      <c r="BXL25" s="36"/>
      <c r="BXM25" s="36"/>
      <c r="BXN25" s="36"/>
      <c r="BXO25" s="36"/>
      <c r="BXP25" s="36"/>
      <c r="BXQ25" s="36"/>
      <c r="BXR25" s="36"/>
      <c r="BXS25" s="36"/>
      <c r="BXT25" s="36"/>
      <c r="BXU25" s="36"/>
      <c r="BXV25" s="36"/>
      <c r="BXW25" s="36"/>
      <c r="BXX25" s="36"/>
      <c r="BXY25" s="36"/>
      <c r="BXZ25" s="36"/>
      <c r="BYA25" s="36"/>
      <c r="BYB25" s="36"/>
      <c r="BYC25" s="36"/>
      <c r="BYD25" s="36"/>
      <c r="BYE25" s="36"/>
      <c r="BYF25" s="36"/>
      <c r="BYG25" s="36"/>
      <c r="BYH25" s="36"/>
      <c r="BYI25" s="36"/>
      <c r="BYJ25" s="36"/>
      <c r="BYK25" s="36"/>
      <c r="BYL25" s="36"/>
      <c r="BYM25" s="36"/>
      <c r="BYN25" s="36"/>
      <c r="BYO25" s="36"/>
      <c r="BYP25" s="36"/>
      <c r="BYQ25" s="36"/>
      <c r="BYR25" s="36"/>
      <c r="BYS25" s="36"/>
      <c r="BYT25" s="36"/>
      <c r="BYU25" s="36"/>
      <c r="BYV25" s="36"/>
      <c r="BYW25" s="36"/>
      <c r="BYX25" s="36"/>
      <c r="BYY25" s="36"/>
      <c r="BYZ25" s="36"/>
      <c r="BZA25" s="36"/>
      <c r="BZB25" s="36"/>
      <c r="BZC25" s="36"/>
      <c r="BZD25" s="36"/>
      <c r="BZE25" s="36"/>
      <c r="BZF25" s="36"/>
      <c r="BZG25" s="36"/>
      <c r="BZH25" s="36"/>
      <c r="BZI25" s="36"/>
      <c r="BZJ25" s="36"/>
      <c r="BZK25" s="36"/>
      <c r="BZL25" s="36"/>
      <c r="BZM25" s="36"/>
      <c r="BZN25" s="36"/>
      <c r="BZO25" s="36"/>
      <c r="BZP25" s="36"/>
      <c r="BZQ25" s="36"/>
      <c r="BZR25" s="36"/>
      <c r="BZS25" s="36"/>
      <c r="BZT25" s="36"/>
      <c r="BZU25" s="36"/>
      <c r="BZV25" s="36"/>
      <c r="BZW25" s="36"/>
      <c r="BZX25" s="36"/>
      <c r="BZY25" s="36"/>
      <c r="BZZ25" s="36"/>
      <c r="CAA25" s="36"/>
      <c r="CAB25" s="36"/>
      <c r="CAC25" s="36"/>
      <c r="CAD25" s="36"/>
      <c r="CAE25" s="36"/>
      <c r="CAF25" s="36"/>
      <c r="CAG25" s="36"/>
      <c r="CAH25" s="36"/>
      <c r="CAI25" s="36"/>
      <c r="CAJ25" s="36"/>
      <c r="CAK25" s="36"/>
      <c r="CAL25" s="36"/>
      <c r="CAM25" s="36"/>
      <c r="CAN25" s="36"/>
      <c r="CAO25" s="36"/>
      <c r="CAP25" s="36"/>
      <c r="CAQ25" s="36"/>
      <c r="CAR25" s="36"/>
      <c r="CAS25" s="36"/>
      <c r="CAT25" s="36"/>
      <c r="CAU25" s="36"/>
      <c r="CAV25" s="36"/>
      <c r="CAW25" s="36"/>
      <c r="CAX25" s="36"/>
      <c r="CAY25" s="36"/>
      <c r="CAZ25" s="36"/>
      <c r="CBA25" s="36"/>
      <c r="CBB25" s="36"/>
      <c r="CBC25" s="36"/>
      <c r="CBD25" s="36"/>
      <c r="CBE25" s="36"/>
      <c r="CBF25" s="36"/>
      <c r="CBG25" s="36"/>
      <c r="CBH25" s="36"/>
      <c r="CBI25" s="36"/>
      <c r="CBJ25" s="36"/>
      <c r="CBK25" s="36"/>
      <c r="CBL25" s="36"/>
      <c r="CBM25" s="36"/>
      <c r="CBN25" s="36"/>
      <c r="CBO25" s="36"/>
      <c r="CBP25" s="36"/>
      <c r="CBQ25" s="36"/>
      <c r="CBR25" s="36"/>
      <c r="CBS25" s="36"/>
      <c r="CBT25" s="36"/>
      <c r="CBU25" s="36"/>
      <c r="CBV25" s="36"/>
      <c r="CBW25" s="36"/>
      <c r="CBX25" s="36"/>
      <c r="CBY25" s="36"/>
      <c r="CBZ25" s="36"/>
      <c r="CCA25" s="36"/>
      <c r="CCB25" s="36"/>
      <c r="CCC25" s="36"/>
      <c r="CCD25" s="36"/>
      <c r="CCE25" s="36"/>
      <c r="CCF25" s="36"/>
      <c r="CCG25" s="36"/>
      <c r="CCH25" s="36"/>
      <c r="CCI25" s="36"/>
      <c r="CCJ25" s="36"/>
      <c r="CCK25" s="36"/>
      <c r="CCL25" s="36"/>
      <c r="CCM25" s="36"/>
      <c r="CCN25" s="36"/>
      <c r="CCO25" s="36"/>
      <c r="CCP25" s="36"/>
      <c r="CCQ25" s="36"/>
      <c r="CCR25" s="36"/>
      <c r="CCS25" s="36"/>
      <c r="CCT25" s="36"/>
      <c r="CCU25" s="36"/>
      <c r="CCV25" s="36"/>
      <c r="CCW25" s="36"/>
      <c r="CCX25" s="36"/>
      <c r="CCY25" s="36"/>
      <c r="CCZ25" s="36"/>
      <c r="CDA25" s="36"/>
      <c r="CDB25" s="36"/>
      <c r="CDC25" s="36"/>
      <c r="CDD25" s="36"/>
      <c r="CDE25" s="36"/>
      <c r="CDF25" s="36"/>
      <c r="CDG25" s="36"/>
      <c r="CDH25" s="36"/>
      <c r="CDI25" s="36"/>
      <c r="CDJ25" s="36"/>
      <c r="CDK25" s="36"/>
      <c r="CDL25" s="36"/>
      <c r="CDM25" s="36"/>
      <c r="CDN25" s="36"/>
      <c r="CDO25" s="36"/>
      <c r="CDP25" s="36"/>
      <c r="CDQ25" s="36"/>
      <c r="CDR25" s="36"/>
      <c r="CDS25" s="36"/>
      <c r="CDT25" s="36"/>
      <c r="CDU25" s="36"/>
      <c r="CDV25" s="36"/>
      <c r="CDW25" s="36"/>
      <c r="CDX25" s="36"/>
      <c r="CDY25" s="36"/>
      <c r="CDZ25" s="36"/>
      <c r="CEA25" s="36"/>
      <c r="CEB25" s="36"/>
      <c r="CEC25" s="36"/>
      <c r="CED25" s="36"/>
      <c r="CEE25" s="36"/>
      <c r="CEF25" s="36"/>
      <c r="CEG25" s="36"/>
      <c r="CEH25" s="36"/>
      <c r="CEI25" s="36"/>
      <c r="CEJ25" s="36"/>
      <c r="CEK25" s="36"/>
      <c r="CEL25" s="36"/>
      <c r="CEM25" s="36"/>
      <c r="CEN25" s="36"/>
      <c r="CEO25" s="36"/>
      <c r="CEP25" s="36"/>
      <c r="CEQ25" s="36"/>
      <c r="CER25" s="36"/>
      <c r="CES25" s="36"/>
      <c r="CET25" s="36"/>
      <c r="CEU25" s="36"/>
      <c r="CEV25" s="36"/>
      <c r="CEW25" s="36"/>
      <c r="CEX25" s="36"/>
      <c r="CEY25" s="36"/>
      <c r="CEZ25" s="36"/>
      <c r="CFA25" s="36"/>
      <c r="CFB25" s="36"/>
      <c r="CFC25" s="36"/>
      <c r="CFD25" s="36"/>
      <c r="CFE25" s="36"/>
      <c r="CFF25" s="36"/>
      <c r="CFG25" s="36"/>
      <c r="CFH25" s="36"/>
      <c r="CFI25" s="36"/>
      <c r="CFJ25" s="36"/>
      <c r="CFK25" s="36"/>
      <c r="CFL25" s="36"/>
      <c r="CFM25" s="36"/>
      <c r="CFN25" s="36"/>
      <c r="CFO25" s="36"/>
      <c r="CFP25" s="36"/>
      <c r="CFQ25" s="36"/>
      <c r="CFR25" s="36"/>
      <c r="CFS25" s="36"/>
      <c r="CFT25" s="36"/>
      <c r="CFU25" s="36"/>
      <c r="CFV25" s="36"/>
      <c r="CFW25" s="36"/>
      <c r="CFX25" s="36"/>
      <c r="CFY25" s="36"/>
      <c r="CFZ25" s="36"/>
      <c r="CGA25" s="36"/>
      <c r="CGB25" s="36"/>
      <c r="CGC25" s="36"/>
      <c r="CGD25" s="36"/>
      <c r="CGE25" s="36"/>
      <c r="CGF25" s="36"/>
      <c r="CGG25" s="36"/>
      <c r="CGH25" s="36"/>
      <c r="CGI25" s="36"/>
      <c r="CGJ25" s="36"/>
      <c r="CGK25" s="36"/>
      <c r="CGL25" s="36"/>
      <c r="CGM25" s="36"/>
      <c r="CGN25" s="36"/>
      <c r="CGO25" s="36"/>
      <c r="CGP25" s="36"/>
      <c r="CGQ25" s="36"/>
      <c r="CGR25" s="36"/>
      <c r="CGS25" s="36"/>
      <c r="CGT25" s="36"/>
      <c r="CGU25" s="36"/>
      <c r="CGV25" s="36"/>
      <c r="CGW25" s="36"/>
      <c r="CGX25" s="36"/>
      <c r="CGY25" s="36"/>
      <c r="CGZ25" s="36"/>
      <c r="CHA25" s="36"/>
      <c r="CHB25" s="36"/>
      <c r="CHC25" s="36"/>
      <c r="CHD25" s="36"/>
      <c r="CHE25" s="36"/>
      <c r="CHF25" s="36"/>
      <c r="CHG25" s="36"/>
      <c r="CHH25" s="36"/>
      <c r="CHI25" s="36"/>
      <c r="CHJ25" s="36"/>
      <c r="CHK25" s="36"/>
      <c r="CHL25" s="36"/>
      <c r="CHM25" s="36"/>
      <c r="CHN25" s="36"/>
      <c r="CHO25" s="36"/>
      <c r="CHP25" s="36"/>
      <c r="CHQ25" s="36"/>
      <c r="CHR25" s="36"/>
      <c r="CHS25" s="36"/>
      <c r="CHT25" s="36"/>
      <c r="CHU25" s="36"/>
      <c r="CHV25" s="36"/>
      <c r="CHW25" s="36"/>
      <c r="CHX25" s="36"/>
      <c r="CHY25" s="36"/>
      <c r="CHZ25" s="36"/>
      <c r="CIA25" s="36"/>
      <c r="CIB25" s="36"/>
      <c r="CIC25" s="36"/>
      <c r="CID25" s="36"/>
      <c r="CIE25" s="36"/>
      <c r="CIF25" s="36"/>
      <c r="CIG25" s="36"/>
      <c r="CIH25" s="36"/>
      <c r="CII25" s="36"/>
      <c r="CIJ25" s="36"/>
      <c r="CIK25" s="36"/>
      <c r="CIL25" s="36"/>
      <c r="CIM25" s="36"/>
      <c r="CIN25" s="36"/>
      <c r="CIO25" s="36"/>
      <c r="CIP25" s="36"/>
      <c r="CIQ25" s="36"/>
      <c r="CIR25" s="36"/>
      <c r="CIS25" s="36"/>
      <c r="CIT25" s="36"/>
      <c r="CIU25" s="36"/>
      <c r="CIV25" s="36"/>
      <c r="CIW25" s="36"/>
      <c r="CIX25" s="36"/>
      <c r="CIY25" s="36"/>
      <c r="CIZ25" s="36"/>
      <c r="CJA25" s="36"/>
      <c r="CJB25" s="36"/>
      <c r="CJC25" s="36"/>
      <c r="CJD25" s="36"/>
      <c r="CJE25" s="36"/>
      <c r="CJF25" s="36"/>
      <c r="CJG25" s="36"/>
      <c r="CJH25" s="36"/>
      <c r="CJI25" s="36"/>
      <c r="CJJ25" s="36"/>
      <c r="CJK25" s="36"/>
      <c r="CJL25" s="36"/>
      <c r="CJM25" s="36"/>
      <c r="CJN25" s="36"/>
      <c r="CJO25" s="36"/>
      <c r="CJP25" s="36"/>
      <c r="CJQ25" s="36"/>
      <c r="CJR25" s="36"/>
      <c r="CJS25" s="36"/>
      <c r="CJT25" s="36"/>
      <c r="CJU25" s="36"/>
      <c r="CJV25" s="36"/>
      <c r="CJW25" s="36"/>
      <c r="CJX25" s="36"/>
      <c r="CJY25" s="36"/>
      <c r="CJZ25" s="36"/>
      <c r="CKA25" s="36"/>
      <c r="CKB25" s="36"/>
      <c r="CKC25" s="36"/>
      <c r="CKD25" s="36"/>
      <c r="CKE25" s="36"/>
      <c r="CKF25" s="36"/>
      <c r="CKG25" s="36"/>
      <c r="CKH25" s="36"/>
      <c r="CKI25" s="36"/>
      <c r="CKJ25" s="36"/>
      <c r="CKK25" s="36"/>
      <c r="CKL25" s="36"/>
      <c r="CKM25" s="36"/>
      <c r="CKN25" s="36"/>
      <c r="CKO25" s="36"/>
      <c r="CKP25" s="36"/>
      <c r="CKQ25" s="36"/>
      <c r="CKR25" s="36"/>
      <c r="CKS25" s="36"/>
      <c r="CKT25" s="36"/>
      <c r="CKU25" s="36"/>
      <c r="CKV25" s="36"/>
      <c r="CKW25" s="36"/>
      <c r="CKX25" s="36"/>
      <c r="CKY25" s="36"/>
      <c r="CKZ25" s="36"/>
      <c r="CLA25" s="36"/>
      <c r="CLB25" s="36"/>
      <c r="CLC25" s="36"/>
      <c r="CLD25" s="36"/>
      <c r="CLE25" s="36"/>
      <c r="CLF25" s="36"/>
      <c r="CLG25" s="36"/>
      <c r="CLH25" s="36"/>
      <c r="CLI25" s="36"/>
      <c r="CLJ25" s="36"/>
      <c r="CLK25" s="36"/>
      <c r="CLL25" s="36"/>
      <c r="CLM25" s="36"/>
      <c r="CLN25" s="36"/>
      <c r="CLO25" s="36"/>
      <c r="CLP25" s="36"/>
      <c r="CLQ25" s="36"/>
      <c r="CLR25" s="36"/>
      <c r="CLS25" s="36"/>
      <c r="CLT25" s="36"/>
      <c r="CLU25" s="36"/>
      <c r="CLV25" s="36"/>
      <c r="CLW25" s="36"/>
      <c r="CLX25" s="36"/>
      <c r="CLY25" s="36"/>
      <c r="CLZ25" s="36"/>
      <c r="CMA25" s="36"/>
      <c r="CMB25" s="36"/>
      <c r="CMC25" s="36"/>
      <c r="CMD25" s="36"/>
      <c r="CME25" s="36"/>
      <c r="CMF25" s="36"/>
      <c r="CMG25" s="36"/>
      <c r="CMH25" s="36"/>
      <c r="CMI25" s="36"/>
      <c r="CMJ25" s="36"/>
      <c r="CMK25" s="36"/>
      <c r="CML25" s="36"/>
      <c r="CMM25" s="36"/>
      <c r="CMN25" s="36"/>
      <c r="CMO25" s="36"/>
      <c r="CMP25" s="36"/>
      <c r="CMQ25" s="36"/>
      <c r="CMR25" s="36"/>
      <c r="CMS25" s="36"/>
      <c r="CMT25" s="36"/>
      <c r="CMU25" s="36"/>
      <c r="CMV25" s="36"/>
      <c r="CMW25" s="36"/>
      <c r="CMX25" s="36"/>
      <c r="CMY25" s="36"/>
      <c r="CMZ25" s="36"/>
      <c r="CNA25" s="36"/>
      <c r="CNB25" s="36"/>
      <c r="CNC25" s="36"/>
      <c r="CND25" s="36"/>
      <c r="CNE25" s="36"/>
      <c r="CNF25" s="36"/>
      <c r="CNG25" s="36"/>
      <c r="CNH25" s="36"/>
      <c r="CNI25" s="36"/>
      <c r="CNJ25" s="36"/>
      <c r="CNK25" s="36"/>
      <c r="CNL25" s="36"/>
      <c r="CNM25" s="36"/>
      <c r="CNN25" s="36"/>
      <c r="CNO25" s="36"/>
      <c r="CNP25" s="36"/>
      <c r="CNQ25" s="36"/>
      <c r="CNR25" s="36"/>
      <c r="CNS25" s="36"/>
      <c r="CNT25" s="36"/>
      <c r="CNU25" s="36"/>
      <c r="CNV25" s="36"/>
      <c r="CNW25" s="36"/>
      <c r="CNX25" s="36"/>
      <c r="CNY25" s="36"/>
      <c r="CNZ25" s="36"/>
      <c r="COA25" s="36"/>
      <c r="COB25" s="36"/>
      <c r="COC25" s="36"/>
      <c r="COD25" s="36"/>
      <c r="COE25" s="36"/>
      <c r="COF25" s="36"/>
      <c r="COG25" s="36"/>
      <c r="COH25" s="36"/>
      <c r="COI25" s="36"/>
      <c r="COJ25" s="36"/>
      <c r="COK25" s="36"/>
      <c r="COL25" s="36"/>
      <c r="COM25" s="36"/>
      <c r="CON25" s="36"/>
      <c r="COO25" s="36"/>
      <c r="COP25" s="36"/>
      <c r="COQ25" s="36"/>
      <c r="COR25" s="36"/>
      <c r="COS25" s="36"/>
      <c r="COT25" s="36"/>
      <c r="COU25" s="36"/>
      <c r="COV25" s="36"/>
      <c r="COW25" s="36"/>
      <c r="COX25" s="36"/>
      <c r="COY25" s="36"/>
      <c r="COZ25" s="36"/>
      <c r="CPA25" s="36"/>
      <c r="CPB25" s="36"/>
      <c r="CPC25" s="36"/>
      <c r="CPD25" s="36"/>
      <c r="CPE25" s="36"/>
      <c r="CPF25" s="36"/>
      <c r="CPG25" s="36"/>
      <c r="CPH25" s="36"/>
      <c r="CPI25" s="36"/>
      <c r="CPJ25" s="36"/>
      <c r="CPK25" s="36"/>
      <c r="CPL25" s="36"/>
      <c r="CPM25" s="36"/>
      <c r="CPN25" s="36"/>
      <c r="CPO25" s="36"/>
      <c r="CPP25" s="36"/>
      <c r="CPQ25" s="36"/>
      <c r="CPR25" s="36"/>
      <c r="CPS25" s="36"/>
      <c r="CPT25" s="36"/>
      <c r="CPU25" s="36"/>
      <c r="CPV25" s="36"/>
      <c r="CPW25" s="36"/>
      <c r="CPX25" s="36"/>
      <c r="CPY25" s="36"/>
      <c r="CPZ25" s="36"/>
      <c r="CQA25" s="36"/>
      <c r="CQB25" s="36"/>
      <c r="CQC25" s="36"/>
      <c r="CQD25" s="36"/>
      <c r="CQE25" s="36"/>
      <c r="CQF25" s="36"/>
      <c r="CQG25" s="36"/>
      <c r="CQH25" s="36"/>
      <c r="CQI25" s="36"/>
      <c r="CQJ25" s="36"/>
      <c r="CQK25" s="36"/>
      <c r="CQL25" s="36"/>
      <c r="CQM25" s="36"/>
      <c r="CQN25" s="36"/>
      <c r="CQO25" s="36"/>
      <c r="CQP25" s="36"/>
      <c r="CQQ25" s="36"/>
      <c r="CQR25" s="36"/>
      <c r="CQS25" s="36"/>
      <c r="CQT25" s="36"/>
      <c r="CQU25" s="36"/>
      <c r="CQV25" s="36"/>
      <c r="CQW25" s="36"/>
      <c r="CQX25" s="36"/>
      <c r="CQY25" s="36"/>
      <c r="CQZ25" s="36"/>
      <c r="CRA25" s="36"/>
      <c r="CRB25" s="36"/>
      <c r="CRC25" s="36"/>
      <c r="CRD25" s="36"/>
      <c r="CRE25" s="36"/>
      <c r="CRF25" s="36"/>
      <c r="CRG25" s="36"/>
      <c r="CRH25" s="36"/>
      <c r="CRI25" s="36"/>
      <c r="CRJ25" s="36"/>
      <c r="CRK25" s="36"/>
      <c r="CRL25" s="36"/>
      <c r="CRM25" s="36"/>
      <c r="CRN25" s="36"/>
      <c r="CRO25" s="36"/>
      <c r="CRP25" s="36"/>
      <c r="CRQ25" s="36"/>
      <c r="CRR25" s="36"/>
      <c r="CRS25" s="36"/>
      <c r="CRT25" s="36"/>
      <c r="CRU25" s="36"/>
      <c r="CRV25" s="36"/>
      <c r="CRW25" s="36"/>
      <c r="CRX25" s="36"/>
      <c r="CRY25" s="36"/>
      <c r="CRZ25" s="36"/>
      <c r="CSA25" s="36"/>
      <c r="CSB25" s="36"/>
      <c r="CSC25" s="36"/>
      <c r="CSD25" s="36"/>
      <c r="CSE25" s="36"/>
      <c r="CSF25" s="36"/>
      <c r="CSG25" s="36"/>
      <c r="CSH25" s="36"/>
      <c r="CSI25" s="36"/>
      <c r="CSJ25" s="36"/>
      <c r="CSK25" s="36"/>
      <c r="CSL25" s="36"/>
      <c r="CSM25" s="36"/>
      <c r="CSN25" s="36"/>
      <c r="CSO25" s="36"/>
      <c r="CSP25" s="36"/>
      <c r="CSQ25" s="36"/>
      <c r="CSR25" s="36"/>
      <c r="CSS25" s="36"/>
      <c r="CST25" s="36"/>
      <c r="CSU25" s="36"/>
      <c r="CSV25" s="36"/>
      <c r="CSW25" s="36"/>
      <c r="CSX25" s="36"/>
      <c r="CSY25" s="36"/>
      <c r="CSZ25" s="36"/>
      <c r="CTA25" s="36"/>
      <c r="CTB25" s="36"/>
      <c r="CTC25" s="36"/>
      <c r="CTD25" s="36"/>
      <c r="CTE25" s="36"/>
      <c r="CTF25" s="36"/>
      <c r="CTG25" s="36"/>
      <c r="CTH25" s="36"/>
      <c r="CTI25" s="36"/>
      <c r="CTJ25" s="36"/>
      <c r="CTK25" s="36"/>
      <c r="CTL25" s="36"/>
      <c r="CTM25" s="36"/>
      <c r="CTN25" s="36"/>
      <c r="CTO25" s="36"/>
      <c r="CTP25" s="36"/>
      <c r="CTQ25" s="36"/>
      <c r="CTR25" s="36"/>
      <c r="CTS25" s="36"/>
      <c r="CTT25" s="36"/>
      <c r="CTU25" s="36"/>
      <c r="CTV25" s="36"/>
      <c r="CTW25" s="36"/>
      <c r="CTX25" s="36"/>
      <c r="CTY25" s="36"/>
      <c r="CTZ25" s="36"/>
      <c r="CUA25" s="36"/>
      <c r="CUB25" s="36"/>
      <c r="CUC25" s="36"/>
      <c r="CUD25" s="36"/>
      <c r="CUE25" s="36"/>
      <c r="CUF25" s="36"/>
      <c r="CUG25" s="36"/>
      <c r="CUH25" s="36"/>
      <c r="CUI25" s="36"/>
      <c r="CUJ25" s="36"/>
      <c r="CUK25" s="36"/>
      <c r="CUL25" s="36"/>
      <c r="CUM25" s="36"/>
      <c r="CUN25" s="36"/>
      <c r="CUO25" s="36"/>
      <c r="CUP25" s="36"/>
      <c r="CUQ25" s="36"/>
      <c r="CUR25" s="36"/>
      <c r="CUS25" s="36"/>
      <c r="CUT25" s="36"/>
      <c r="CUU25" s="36"/>
      <c r="CUV25" s="36"/>
      <c r="CUW25" s="36"/>
      <c r="CUX25" s="36"/>
      <c r="CUY25" s="36"/>
      <c r="CUZ25" s="36"/>
      <c r="CVA25" s="36"/>
      <c r="CVB25" s="36"/>
      <c r="CVC25" s="36"/>
      <c r="CVD25" s="36"/>
      <c r="CVE25" s="36"/>
      <c r="CVF25" s="36"/>
      <c r="CVG25" s="36"/>
      <c r="CVH25" s="36"/>
      <c r="CVI25" s="36"/>
      <c r="CVJ25" s="36"/>
      <c r="CVK25" s="36"/>
      <c r="CVL25" s="36"/>
      <c r="CVM25" s="36"/>
      <c r="CVN25" s="36"/>
      <c r="CVO25" s="36"/>
      <c r="CVP25" s="36"/>
      <c r="CVQ25" s="36"/>
      <c r="CVR25" s="36"/>
      <c r="CVS25" s="36"/>
      <c r="CVT25" s="36"/>
      <c r="CVU25" s="36"/>
      <c r="CVV25" s="36"/>
      <c r="CVW25" s="36"/>
      <c r="CVX25" s="36"/>
      <c r="CVY25" s="36"/>
      <c r="CVZ25" s="36"/>
      <c r="CWA25" s="36"/>
      <c r="CWB25" s="36"/>
      <c r="CWC25" s="36"/>
      <c r="CWD25" s="36"/>
      <c r="CWE25" s="36"/>
      <c r="CWF25" s="36"/>
      <c r="CWG25" s="36"/>
      <c r="CWH25" s="36"/>
      <c r="CWI25" s="36"/>
      <c r="CWJ25" s="36"/>
      <c r="CWK25" s="36"/>
      <c r="CWL25" s="36"/>
      <c r="CWM25" s="36"/>
      <c r="CWN25" s="36"/>
      <c r="CWO25" s="36"/>
      <c r="CWP25" s="36"/>
      <c r="CWQ25" s="36"/>
      <c r="CWR25" s="36"/>
      <c r="CWS25" s="36"/>
      <c r="CWT25" s="36"/>
      <c r="CWU25" s="36"/>
      <c r="CWV25" s="36"/>
      <c r="CWW25" s="36"/>
      <c r="CWX25" s="36"/>
      <c r="CWY25" s="36"/>
      <c r="CWZ25" s="36"/>
      <c r="CXA25" s="36"/>
      <c r="CXB25" s="36"/>
      <c r="CXC25" s="36"/>
      <c r="CXD25" s="36"/>
      <c r="CXE25" s="36"/>
      <c r="CXF25" s="36"/>
      <c r="CXG25" s="36"/>
      <c r="CXH25" s="36"/>
      <c r="CXI25" s="36"/>
      <c r="CXJ25" s="36"/>
      <c r="CXK25" s="36"/>
      <c r="CXL25" s="36"/>
      <c r="CXM25" s="36"/>
      <c r="CXN25" s="36"/>
      <c r="CXO25" s="36"/>
      <c r="CXP25" s="36"/>
      <c r="CXQ25" s="36"/>
      <c r="CXR25" s="36"/>
      <c r="CXS25" s="36"/>
      <c r="CXT25" s="36"/>
      <c r="CXU25" s="36"/>
      <c r="CXV25" s="36"/>
      <c r="CXW25" s="36"/>
      <c r="CXX25" s="36"/>
      <c r="CXY25" s="36"/>
      <c r="CXZ25" s="36"/>
      <c r="CYA25" s="36"/>
      <c r="CYB25" s="36"/>
      <c r="CYC25" s="36"/>
      <c r="CYD25" s="36"/>
      <c r="CYE25" s="36"/>
      <c r="CYF25" s="36"/>
      <c r="CYG25" s="36"/>
      <c r="CYH25" s="36"/>
      <c r="CYI25" s="36"/>
      <c r="CYJ25" s="36"/>
      <c r="CYK25" s="36"/>
      <c r="CYL25" s="36"/>
      <c r="CYM25" s="36"/>
      <c r="CYN25" s="36"/>
      <c r="CYO25" s="36"/>
      <c r="CYP25" s="36"/>
      <c r="CYQ25" s="36"/>
      <c r="CYR25" s="36"/>
      <c r="CYS25" s="36"/>
      <c r="CYT25" s="36"/>
      <c r="CYU25" s="36"/>
      <c r="CYV25" s="36"/>
      <c r="CYW25" s="36"/>
      <c r="CYX25" s="36"/>
      <c r="CYY25" s="36"/>
      <c r="CYZ25" s="36"/>
      <c r="CZA25" s="36"/>
      <c r="CZB25" s="36"/>
      <c r="CZC25" s="36"/>
      <c r="CZD25" s="36"/>
      <c r="CZE25" s="36"/>
      <c r="CZF25" s="36"/>
      <c r="CZG25" s="36"/>
      <c r="CZH25" s="36"/>
      <c r="CZI25" s="36"/>
      <c r="CZJ25" s="36"/>
      <c r="CZK25" s="36"/>
      <c r="CZL25" s="36"/>
      <c r="CZM25" s="36"/>
      <c r="CZN25" s="36"/>
      <c r="CZO25" s="36"/>
      <c r="CZP25" s="36"/>
      <c r="CZQ25" s="36"/>
      <c r="CZR25" s="36"/>
      <c r="CZS25" s="36"/>
      <c r="CZT25" s="36"/>
      <c r="CZU25" s="36"/>
      <c r="CZV25" s="36"/>
      <c r="CZW25" s="36"/>
      <c r="CZX25" s="36"/>
      <c r="CZY25" s="36"/>
      <c r="CZZ25" s="36"/>
      <c r="DAA25" s="36"/>
      <c r="DAB25" s="36"/>
      <c r="DAC25" s="36"/>
      <c r="DAD25" s="36"/>
      <c r="DAE25" s="36"/>
      <c r="DAF25" s="36"/>
      <c r="DAG25" s="36"/>
      <c r="DAH25" s="36"/>
      <c r="DAI25" s="36"/>
      <c r="DAJ25" s="36"/>
      <c r="DAK25" s="36"/>
      <c r="DAL25" s="36"/>
      <c r="DAM25" s="36"/>
      <c r="DAN25" s="36"/>
      <c r="DAO25" s="36"/>
      <c r="DAP25" s="36"/>
      <c r="DAQ25" s="36"/>
      <c r="DAR25" s="36"/>
      <c r="DAS25" s="36"/>
      <c r="DAT25" s="36"/>
      <c r="DAU25" s="36"/>
      <c r="DAV25" s="36"/>
      <c r="DAW25" s="36"/>
      <c r="DAX25" s="36"/>
      <c r="DAY25" s="36"/>
      <c r="DAZ25" s="36"/>
      <c r="DBA25" s="36"/>
      <c r="DBB25" s="36"/>
      <c r="DBC25" s="36"/>
      <c r="DBD25" s="36"/>
      <c r="DBE25" s="36"/>
      <c r="DBF25" s="36"/>
      <c r="DBG25" s="36"/>
      <c r="DBH25" s="36"/>
      <c r="DBI25" s="36"/>
      <c r="DBJ25" s="36"/>
      <c r="DBK25" s="36"/>
      <c r="DBL25" s="36"/>
      <c r="DBM25" s="36"/>
      <c r="DBN25" s="36"/>
      <c r="DBO25" s="36"/>
      <c r="DBP25" s="36"/>
      <c r="DBQ25" s="36"/>
      <c r="DBR25" s="36"/>
      <c r="DBS25" s="36"/>
      <c r="DBT25" s="36"/>
      <c r="DBU25" s="36"/>
      <c r="DBV25" s="36"/>
      <c r="DBW25" s="36"/>
      <c r="DBX25" s="36"/>
      <c r="DBY25" s="36"/>
      <c r="DBZ25" s="36"/>
      <c r="DCA25" s="36"/>
      <c r="DCB25" s="36"/>
      <c r="DCC25" s="36"/>
      <c r="DCD25" s="36"/>
      <c r="DCE25" s="36"/>
      <c r="DCF25" s="36"/>
      <c r="DCG25" s="36"/>
      <c r="DCH25" s="36"/>
      <c r="DCI25" s="36"/>
      <c r="DCJ25" s="36"/>
      <c r="DCK25" s="36"/>
      <c r="DCL25" s="36"/>
      <c r="DCM25" s="36"/>
      <c r="DCN25" s="36"/>
      <c r="DCO25" s="36"/>
      <c r="DCP25" s="36"/>
      <c r="DCQ25" s="36"/>
      <c r="DCR25" s="36"/>
      <c r="DCS25" s="36"/>
      <c r="DCT25" s="36"/>
      <c r="DCU25" s="36"/>
      <c r="DCV25" s="36"/>
      <c r="DCW25" s="36"/>
      <c r="DCX25" s="36"/>
      <c r="DCY25" s="36"/>
      <c r="DCZ25" s="36"/>
      <c r="DDA25" s="36"/>
      <c r="DDB25" s="36"/>
      <c r="DDC25" s="36"/>
      <c r="DDD25" s="36"/>
      <c r="DDE25" s="36"/>
      <c r="DDF25" s="36"/>
      <c r="DDG25" s="36"/>
      <c r="DDH25" s="36"/>
      <c r="DDI25" s="36"/>
      <c r="DDJ25" s="36"/>
      <c r="DDK25" s="36"/>
      <c r="DDL25" s="36"/>
      <c r="DDM25" s="36"/>
      <c r="DDN25" s="36"/>
      <c r="DDO25" s="36"/>
      <c r="DDP25" s="36"/>
      <c r="DDQ25" s="36"/>
      <c r="DDR25" s="36"/>
      <c r="DDS25" s="36"/>
      <c r="DDT25" s="36"/>
      <c r="DDU25" s="36"/>
      <c r="DDV25" s="36"/>
      <c r="DDW25" s="36"/>
      <c r="DDX25" s="36"/>
      <c r="DDY25" s="36"/>
      <c r="DDZ25" s="36"/>
      <c r="DEA25" s="36"/>
      <c r="DEB25" s="36"/>
      <c r="DEC25" s="36"/>
      <c r="DED25" s="36"/>
      <c r="DEE25" s="36"/>
      <c r="DEF25" s="36"/>
      <c r="DEG25" s="36"/>
      <c r="DEH25" s="36"/>
      <c r="DEI25" s="36"/>
      <c r="DEJ25" s="36"/>
      <c r="DEK25" s="36"/>
      <c r="DEL25" s="36"/>
      <c r="DEM25" s="36"/>
      <c r="DEN25" s="36"/>
      <c r="DEO25" s="36"/>
      <c r="DEP25" s="36"/>
      <c r="DEQ25" s="36"/>
      <c r="DER25" s="36"/>
      <c r="DES25" s="36"/>
      <c r="DET25" s="36"/>
      <c r="DEU25" s="36"/>
      <c r="DEV25" s="36"/>
      <c r="DEW25" s="36"/>
      <c r="DEX25" s="36"/>
      <c r="DEY25" s="36"/>
      <c r="DEZ25" s="36"/>
      <c r="DFA25" s="36"/>
      <c r="DFB25" s="36"/>
      <c r="DFC25" s="36"/>
      <c r="DFD25" s="36"/>
      <c r="DFE25" s="36"/>
      <c r="DFF25" s="36"/>
      <c r="DFG25" s="36"/>
      <c r="DFH25" s="36"/>
      <c r="DFI25" s="36"/>
      <c r="DFJ25" s="36"/>
      <c r="DFK25" s="36"/>
      <c r="DFL25" s="36"/>
      <c r="DFM25" s="36"/>
      <c r="DFN25" s="36"/>
      <c r="DFO25" s="36"/>
      <c r="DFP25" s="36"/>
      <c r="DFQ25" s="36"/>
      <c r="DFR25" s="36"/>
      <c r="DFS25" s="36"/>
      <c r="DFT25" s="36"/>
      <c r="DFU25" s="36"/>
      <c r="DFV25" s="36"/>
      <c r="DFW25" s="36"/>
      <c r="DFX25" s="36"/>
      <c r="DFY25" s="36"/>
      <c r="DFZ25" s="36"/>
      <c r="DGA25" s="36"/>
      <c r="DGB25" s="36"/>
      <c r="DGC25" s="36"/>
      <c r="DGD25" s="36"/>
      <c r="DGE25" s="36"/>
      <c r="DGF25" s="36"/>
      <c r="DGG25" s="36"/>
      <c r="DGH25" s="36"/>
      <c r="DGI25" s="36"/>
      <c r="DGJ25" s="36"/>
      <c r="DGK25" s="36"/>
      <c r="DGL25" s="36"/>
      <c r="DGM25" s="36"/>
      <c r="DGN25" s="36"/>
      <c r="DGO25" s="36"/>
      <c r="DGP25" s="36"/>
      <c r="DGQ25" s="36"/>
      <c r="DGR25" s="36"/>
      <c r="DGS25" s="36"/>
      <c r="DGT25" s="36"/>
      <c r="DGU25" s="36"/>
      <c r="DGV25" s="36"/>
      <c r="DGW25" s="36"/>
      <c r="DGX25" s="36"/>
      <c r="DGY25" s="36"/>
      <c r="DGZ25" s="36"/>
      <c r="DHA25" s="36"/>
      <c r="DHB25" s="36"/>
      <c r="DHC25" s="36"/>
      <c r="DHD25" s="36"/>
      <c r="DHE25" s="36"/>
      <c r="DHF25" s="36"/>
      <c r="DHG25" s="36"/>
      <c r="DHH25" s="36"/>
      <c r="DHI25" s="36"/>
      <c r="DHJ25" s="36"/>
      <c r="DHK25" s="36"/>
      <c r="DHL25" s="36"/>
      <c r="DHM25" s="36"/>
      <c r="DHN25" s="36"/>
      <c r="DHO25" s="36"/>
      <c r="DHP25" s="36"/>
      <c r="DHQ25" s="36"/>
      <c r="DHR25" s="36"/>
      <c r="DHS25" s="36"/>
      <c r="DHT25" s="36"/>
      <c r="DHU25" s="36"/>
      <c r="DHV25" s="36"/>
      <c r="DHW25" s="36"/>
      <c r="DHX25" s="36"/>
      <c r="DHY25" s="36"/>
      <c r="DHZ25" s="36"/>
      <c r="DIA25" s="36"/>
      <c r="DIB25" s="36"/>
      <c r="DIC25" s="36"/>
      <c r="DID25" s="36"/>
      <c r="DIE25" s="36"/>
      <c r="DIF25" s="36"/>
      <c r="DIG25" s="36"/>
      <c r="DIH25" s="36"/>
      <c r="DII25" s="36"/>
      <c r="DIJ25" s="36"/>
      <c r="DIK25" s="36"/>
      <c r="DIL25" s="36"/>
      <c r="DIM25" s="36"/>
      <c r="DIN25" s="36"/>
      <c r="DIO25" s="36"/>
      <c r="DIP25" s="36"/>
      <c r="DIQ25" s="36"/>
      <c r="DIR25" s="36"/>
      <c r="DIS25" s="36"/>
      <c r="DIT25" s="36"/>
      <c r="DIU25" s="36"/>
      <c r="DIV25" s="36"/>
      <c r="DIW25" s="36"/>
      <c r="DIX25" s="36"/>
      <c r="DIY25" s="36"/>
      <c r="DIZ25" s="36"/>
      <c r="DJA25" s="36"/>
      <c r="DJB25" s="36"/>
      <c r="DJC25" s="36"/>
      <c r="DJD25" s="36"/>
      <c r="DJE25" s="36"/>
      <c r="DJF25" s="36"/>
      <c r="DJG25" s="36"/>
      <c r="DJH25" s="36"/>
      <c r="DJI25" s="36"/>
      <c r="DJJ25" s="36"/>
      <c r="DJK25" s="36"/>
      <c r="DJL25" s="36"/>
      <c r="DJM25" s="36"/>
      <c r="DJN25" s="36"/>
      <c r="DJO25" s="36"/>
      <c r="DJP25" s="36"/>
      <c r="DJQ25" s="36"/>
      <c r="DJR25" s="36"/>
      <c r="DJS25" s="36"/>
      <c r="DJT25" s="36"/>
      <c r="DJU25" s="36"/>
      <c r="DJV25" s="36"/>
      <c r="DJW25" s="36"/>
      <c r="DJX25" s="36"/>
      <c r="DJY25" s="36"/>
      <c r="DJZ25" s="36"/>
      <c r="DKA25" s="36"/>
      <c r="DKB25" s="36"/>
      <c r="DKC25" s="36"/>
      <c r="DKD25" s="36"/>
      <c r="DKE25" s="36"/>
      <c r="DKF25" s="36"/>
      <c r="DKG25" s="36"/>
      <c r="DKH25" s="36"/>
      <c r="DKI25" s="36"/>
      <c r="DKJ25" s="36"/>
      <c r="DKK25" s="36"/>
      <c r="DKL25" s="36"/>
      <c r="DKM25" s="36"/>
      <c r="DKN25" s="36"/>
      <c r="DKO25" s="36"/>
      <c r="DKP25" s="36"/>
      <c r="DKQ25" s="36"/>
      <c r="DKR25" s="36"/>
      <c r="DKS25" s="36"/>
      <c r="DKT25" s="36"/>
      <c r="DKU25" s="36"/>
      <c r="DKV25" s="36"/>
      <c r="DKW25" s="36"/>
      <c r="DKX25" s="36"/>
      <c r="DKY25" s="36"/>
      <c r="DKZ25" s="36"/>
      <c r="DLA25" s="36"/>
      <c r="DLB25" s="36"/>
      <c r="DLC25" s="36"/>
      <c r="DLD25" s="36"/>
      <c r="DLE25" s="36"/>
      <c r="DLF25" s="36"/>
      <c r="DLG25" s="36"/>
      <c r="DLH25" s="36"/>
      <c r="DLI25" s="36"/>
      <c r="DLJ25" s="36"/>
      <c r="DLK25" s="36"/>
      <c r="DLL25" s="36"/>
      <c r="DLM25" s="36"/>
      <c r="DLN25" s="36"/>
      <c r="DLO25" s="36"/>
      <c r="DLP25" s="36"/>
      <c r="DLQ25" s="36"/>
      <c r="DLR25" s="36"/>
      <c r="DLS25" s="36"/>
      <c r="DLT25" s="36"/>
      <c r="DLU25" s="36"/>
      <c r="DLV25" s="36"/>
      <c r="DLW25" s="36"/>
      <c r="DLX25" s="36"/>
      <c r="DLY25" s="36"/>
      <c r="DLZ25" s="36"/>
      <c r="DMA25" s="36"/>
      <c r="DMB25" s="36"/>
      <c r="DMC25" s="36"/>
      <c r="DMD25" s="36"/>
      <c r="DME25" s="36"/>
      <c r="DMF25" s="36"/>
      <c r="DMG25" s="36"/>
      <c r="DMH25" s="36"/>
      <c r="DMI25" s="36"/>
      <c r="DMJ25" s="36"/>
      <c r="DMK25" s="36"/>
      <c r="DML25" s="36"/>
      <c r="DMM25" s="36"/>
      <c r="DMN25" s="36"/>
      <c r="DMO25" s="36"/>
      <c r="DMP25" s="36"/>
      <c r="DMQ25" s="36"/>
      <c r="DMR25" s="36"/>
      <c r="DMS25" s="36"/>
      <c r="DMT25" s="36"/>
      <c r="DMU25" s="36"/>
      <c r="DMV25" s="36"/>
      <c r="DMW25" s="36"/>
      <c r="DMX25" s="36"/>
      <c r="DMY25" s="36"/>
      <c r="DMZ25" s="36"/>
      <c r="DNA25" s="36"/>
      <c r="DNB25" s="36"/>
      <c r="DNC25" s="36"/>
      <c r="DND25" s="36"/>
      <c r="DNE25" s="36"/>
      <c r="DNF25" s="36"/>
      <c r="DNG25" s="36"/>
      <c r="DNH25" s="36"/>
      <c r="DNI25" s="36"/>
      <c r="DNJ25" s="36"/>
      <c r="DNK25" s="36"/>
      <c r="DNL25" s="36"/>
      <c r="DNM25" s="36"/>
      <c r="DNN25" s="36"/>
      <c r="DNO25" s="36"/>
      <c r="DNP25" s="36"/>
      <c r="DNQ25" s="36"/>
      <c r="DNR25" s="36"/>
      <c r="DNS25" s="36"/>
      <c r="DNT25" s="36"/>
      <c r="DNU25" s="36"/>
      <c r="DNV25" s="36"/>
      <c r="DNW25" s="36"/>
      <c r="DNX25" s="36"/>
      <c r="DNY25" s="36"/>
      <c r="DNZ25" s="36"/>
      <c r="DOA25" s="36"/>
      <c r="DOB25" s="36"/>
      <c r="DOC25" s="36"/>
      <c r="DOD25" s="36"/>
      <c r="DOE25" s="36"/>
      <c r="DOF25" s="36"/>
      <c r="DOG25" s="36"/>
      <c r="DOH25" s="36"/>
      <c r="DOI25" s="36"/>
      <c r="DOJ25" s="36"/>
      <c r="DOK25" s="36"/>
      <c r="DOL25" s="36"/>
      <c r="DOM25" s="36"/>
      <c r="DON25" s="36"/>
      <c r="DOO25" s="36"/>
      <c r="DOP25" s="36"/>
      <c r="DOQ25" s="36"/>
      <c r="DOR25" s="36"/>
      <c r="DOS25" s="36"/>
      <c r="DOT25" s="36"/>
      <c r="DOU25" s="36"/>
      <c r="DOV25" s="36"/>
      <c r="DOW25" s="36"/>
      <c r="DOX25" s="36"/>
      <c r="DOY25" s="36"/>
      <c r="DOZ25" s="36"/>
      <c r="DPA25" s="36"/>
      <c r="DPB25" s="36"/>
      <c r="DPC25" s="36"/>
      <c r="DPD25" s="36"/>
      <c r="DPE25" s="36"/>
      <c r="DPF25" s="36"/>
      <c r="DPG25" s="36"/>
      <c r="DPH25" s="36"/>
      <c r="DPI25" s="36"/>
      <c r="DPJ25" s="36"/>
      <c r="DPK25" s="36"/>
      <c r="DPL25" s="36"/>
      <c r="DPM25" s="36"/>
      <c r="DPN25" s="36"/>
      <c r="DPO25" s="36"/>
      <c r="DPP25" s="36"/>
      <c r="DPQ25" s="36"/>
      <c r="DPR25" s="36"/>
      <c r="DPS25" s="36"/>
      <c r="DPT25" s="36"/>
      <c r="DPU25" s="36"/>
      <c r="DPV25" s="36"/>
      <c r="DPW25" s="36"/>
      <c r="DPX25" s="36"/>
      <c r="DPY25" s="36"/>
      <c r="DPZ25" s="36"/>
      <c r="DQA25" s="36"/>
      <c r="DQB25" s="36"/>
      <c r="DQC25" s="36"/>
      <c r="DQD25" s="36"/>
      <c r="DQE25" s="36"/>
      <c r="DQF25" s="36"/>
      <c r="DQG25" s="36"/>
      <c r="DQH25" s="36"/>
      <c r="DQI25" s="36"/>
      <c r="DQJ25" s="36"/>
      <c r="DQK25" s="36"/>
      <c r="DQL25" s="36"/>
      <c r="DQM25" s="36"/>
      <c r="DQN25" s="36"/>
      <c r="DQO25" s="36"/>
      <c r="DQP25" s="36"/>
      <c r="DQQ25" s="36"/>
      <c r="DQR25" s="36"/>
      <c r="DQS25" s="36"/>
      <c r="DQT25" s="36"/>
      <c r="DQU25" s="36"/>
      <c r="DQV25" s="36"/>
      <c r="DQW25" s="36"/>
      <c r="DQX25" s="36"/>
      <c r="DQY25" s="36"/>
      <c r="DQZ25" s="36"/>
      <c r="DRA25" s="36"/>
      <c r="DRB25" s="36"/>
      <c r="DRC25" s="36"/>
      <c r="DRD25" s="36"/>
      <c r="DRE25" s="36"/>
      <c r="DRF25" s="36"/>
      <c r="DRG25" s="36"/>
      <c r="DRH25" s="36"/>
      <c r="DRI25" s="36"/>
      <c r="DRJ25" s="36"/>
      <c r="DRK25" s="36"/>
      <c r="DRL25" s="36"/>
      <c r="DRM25" s="36"/>
      <c r="DRN25" s="36"/>
      <c r="DRO25" s="36"/>
      <c r="DRP25" s="36"/>
      <c r="DRQ25" s="36"/>
      <c r="DRR25" s="36"/>
      <c r="DRS25" s="36"/>
      <c r="DRT25" s="36"/>
      <c r="DRU25" s="36"/>
      <c r="DRV25" s="36"/>
      <c r="DRW25" s="36"/>
      <c r="DRX25" s="36"/>
      <c r="DRY25" s="36"/>
      <c r="DRZ25" s="36"/>
      <c r="DSA25" s="36"/>
      <c r="DSB25" s="36"/>
      <c r="DSC25" s="36"/>
      <c r="DSD25" s="36"/>
      <c r="DSE25" s="36"/>
      <c r="DSF25" s="36"/>
      <c r="DSG25" s="36"/>
      <c r="DSH25" s="36"/>
      <c r="DSI25" s="36"/>
      <c r="DSJ25" s="36"/>
      <c r="DSK25" s="36"/>
      <c r="DSL25" s="36"/>
      <c r="DSM25" s="36"/>
      <c r="DSN25" s="36"/>
      <c r="DSO25" s="36"/>
      <c r="DSP25" s="36"/>
      <c r="DSQ25" s="36"/>
      <c r="DSR25" s="36"/>
      <c r="DSS25" s="36"/>
      <c r="DST25" s="36"/>
      <c r="DSU25" s="36"/>
      <c r="DSV25" s="36"/>
      <c r="DSW25" s="36"/>
      <c r="DSX25" s="36"/>
      <c r="DSY25" s="36"/>
      <c r="DSZ25" s="36"/>
      <c r="DTA25" s="36"/>
      <c r="DTB25" s="36"/>
      <c r="DTC25" s="36"/>
      <c r="DTD25" s="36"/>
      <c r="DTE25" s="36"/>
      <c r="DTF25" s="36"/>
      <c r="DTG25" s="36"/>
      <c r="DTH25" s="36"/>
      <c r="DTI25" s="36"/>
      <c r="DTJ25" s="36"/>
      <c r="DTK25" s="36"/>
      <c r="DTL25" s="36"/>
      <c r="DTM25" s="36"/>
      <c r="DTN25" s="36"/>
      <c r="DTO25" s="36"/>
      <c r="DTP25" s="36"/>
      <c r="DTQ25" s="36"/>
      <c r="DTR25" s="36"/>
      <c r="DTS25" s="36"/>
      <c r="DTT25" s="36"/>
      <c r="DTU25" s="36"/>
      <c r="DTV25" s="36"/>
      <c r="DTW25" s="36"/>
      <c r="DTX25" s="36"/>
      <c r="DTY25" s="36"/>
      <c r="DTZ25" s="36"/>
      <c r="DUA25" s="36"/>
      <c r="DUB25" s="36"/>
      <c r="DUC25" s="36"/>
      <c r="DUD25" s="36"/>
      <c r="DUE25" s="36"/>
      <c r="DUF25" s="36"/>
      <c r="DUG25" s="36"/>
      <c r="DUH25" s="36"/>
      <c r="DUI25" s="36"/>
      <c r="DUJ25" s="36"/>
      <c r="DUK25" s="36"/>
      <c r="DUL25" s="36"/>
      <c r="DUM25" s="36"/>
      <c r="DUN25" s="36"/>
      <c r="DUO25" s="36"/>
      <c r="DUP25" s="36"/>
      <c r="DUQ25" s="36"/>
      <c r="DUR25" s="36"/>
      <c r="DUS25" s="36"/>
      <c r="DUT25" s="36"/>
      <c r="DUU25" s="36"/>
      <c r="DUV25" s="36"/>
      <c r="DUW25" s="36"/>
      <c r="DUX25" s="36"/>
      <c r="DUY25" s="36"/>
      <c r="DUZ25" s="36"/>
      <c r="DVA25" s="36"/>
      <c r="DVB25" s="36"/>
      <c r="DVC25" s="36"/>
      <c r="DVD25" s="36"/>
      <c r="DVE25" s="36"/>
      <c r="DVF25" s="36"/>
      <c r="DVG25" s="36"/>
      <c r="DVH25" s="36"/>
      <c r="DVI25" s="36"/>
      <c r="DVJ25" s="36"/>
      <c r="DVK25" s="36"/>
      <c r="DVL25" s="36"/>
      <c r="DVM25" s="36"/>
      <c r="DVN25" s="36"/>
      <c r="DVO25" s="36"/>
      <c r="DVP25" s="36"/>
      <c r="DVQ25" s="36"/>
      <c r="DVR25" s="36"/>
      <c r="DVS25" s="36"/>
      <c r="DVT25" s="36"/>
      <c r="DVU25" s="36"/>
      <c r="DVV25" s="36"/>
      <c r="DVW25" s="36"/>
      <c r="DVX25" s="36"/>
      <c r="DVY25" s="36"/>
      <c r="DVZ25" s="36"/>
      <c r="DWA25" s="36"/>
      <c r="DWB25" s="36"/>
      <c r="DWC25" s="36"/>
      <c r="DWD25" s="36"/>
      <c r="DWE25" s="36"/>
      <c r="DWF25" s="36"/>
      <c r="DWG25" s="36"/>
      <c r="DWH25" s="36"/>
      <c r="DWI25" s="36"/>
      <c r="DWJ25" s="36"/>
      <c r="DWK25" s="36"/>
      <c r="DWL25" s="36"/>
      <c r="DWM25" s="36"/>
      <c r="DWN25" s="36"/>
      <c r="DWO25" s="36"/>
      <c r="DWP25" s="36"/>
      <c r="DWQ25" s="36"/>
      <c r="DWR25" s="36"/>
      <c r="DWS25" s="36"/>
      <c r="DWT25" s="36"/>
      <c r="DWU25" s="36"/>
      <c r="DWV25" s="36"/>
      <c r="DWW25" s="36"/>
      <c r="DWX25" s="36"/>
      <c r="DWY25" s="36"/>
      <c r="DWZ25" s="36"/>
      <c r="DXA25" s="36"/>
      <c r="DXB25" s="36"/>
      <c r="DXC25" s="36"/>
      <c r="DXD25" s="36"/>
      <c r="DXE25" s="36"/>
      <c r="DXF25" s="36"/>
      <c r="DXG25" s="36"/>
      <c r="DXH25" s="36"/>
      <c r="DXI25" s="36"/>
      <c r="DXJ25" s="36"/>
      <c r="DXK25" s="36"/>
      <c r="DXL25" s="36"/>
      <c r="DXM25" s="36"/>
      <c r="DXN25" s="36"/>
      <c r="DXO25" s="36"/>
      <c r="DXP25" s="36"/>
      <c r="DXQ25" s="36"/>
      <c r="DXR25" s="36"/>
      <c r="DXS25" s="36"/>
      <c r="DXT25" s="36"/>
      <c r="DXU25" s="36"/>
      <c r="DXV25" s="36"/>
      <c r="DXW25" s="36"/>
      <c r="DXX25" s="36"/>
      <c r="DXY25" s="36"/>
      <c r="DXZ25" s="36"/>
      <c r="DYA25" s="36"/>
      <c r="DYB25" s="36"/>
      <c r="DYC25" s="36"/>
      <c r="DYD25" s="36"/>
      <c r="DYE25" s="36"/>
      <c r="DYF25" s="36"/>
      <c r="DYG25" s="36"/>
      <c r="DYH25" s="36"/>
      <c r="DYI25" s="36"/>
      <c r="DYJ25" s="36"/>
      <c r="DYK25" s="36"/>
      <c r="DYL25" s="36"/>
      <c r="DYM25" s="36"/>
      <c r="DYN25" s="36"/>
      <c r="DYO25" s="36"/>
      <c r="DYP25" s="36"/>
      <c r="DYQ25" s="36"/>
      <c r="DYR25" s="36"/>
      <c r="DYS25" s="36"/>
      <c r="DYT25" s="36"/>
      <c r="DYU25" s="36"/>
      <c r="DYV25" s="36"/>
      <c r="DYW25" s="36"/>
      <c r="DYX25" s="36"/>
      <c r="DYY25" s="36"/>
      <c r="DYZ25" s="36"/>
      <c r="DZA25" s="36"/>
      <c r="DZB25" s="36"/>
      <c r="DZC25" s="36"/>
      <c r="DZD25" s="36"/>
      <c r="DZE25" s="36"/>
      <c r="DZF25" s="36"/>
      <c r="DZG25" s="36"/>
      <c r="DZH25" s="36"/>
      <c r="DZI25" s="36"/>
      <c r="DZJ25" s="36"/>
      <c r="DZK25" s="36"/>
      <c r="DZL25" s="36"/>
      <c r="DZM25" s="36"/>
      <c r="DZN25" s="36"/>
      <c r="DZO25" s="36"/>
      <c r="DZP25" s="36"/>
      <c r="DZQ25" s="36"/>
      <c r="DZR25" s="36"/>
      <c r="DZS25" s="36"/>
      <c r="DZT25" s="36"/>
      <c r="DZU25" s="36"/>
      <c r="DZV25" s="36"/>
      <c r="DZW25" s="36"/>
      <c r="DZX25" s="36"/>
      <c r="DZY25" s="36"/>
      <c r="DZZ25" s="36"/>
      <c r="EAA25" s="36"/>
      <c r="EAB25" s="36"/>
      <c r="EAC25" s="36"/>
      <c r="EAD25" s="36"/>
      <c r="EAE25" s="36"/>
      <c r="EAF25" s="36"/>
      <c r="EAG25" s="36"/>
      <c r="EAH25" s="36"/>
      <c r="EAI25" s="36"/>
      <c r="EAJ25" s="36"/>
      <c r="EAK25" s="36"/>
      <c r="EAL25" s="36"/>
      <c r="EAM25" s="36"/>
      <c r="EAN25" s="36"/>
      <c r="EAO25" s="36"/>
      <c r="EAP25" s="36"/>
      <c r="EAQ25" s="36"/>
      <c r="EAR25" s="36"/>
      <c r="EAS25" s="36"/>
      <c r="EAT25" s="36"/>
      <c r="EAU25" s="36"/>
      <c r="EAV25" s="36"/>
      <c r="EAW25" s="36"/>
      <c r="EAX25" s="36"/>
      <c r="EAY25" s="36"/>
      <c r="EAZ25" s="36"/>
      <c r="EBA25" s="36"/>
      <c r="EBB25" s="36"/>
      <c r="EBC25" s="36"/>
      <c r="EBD25" s="36"/>
      <c r="EBE25" s="36"/>
      <c r="EBF25" s="36"/>
      <c r="EBG25" s="36"/>
      <c r="EBH25" s="36"/>
      <c r="EBI25" s="36"/>
      <c r="EBJ25" s="36"/>
      <c r="EBK25" s="36"/>
      <c r="EBL25" s="36"/>
      <c r="EBM25" s="36"/>
      <c r="EBN25" s="36"/>
      <c r="EBO25" s="36"/>
      <c r="EBP25" s="36"/>
      <c r="EBQ25" s="36"/>
      <c r="EBR25" s="36"/>
      <c r="EBS25" s="36"/>
      <c r="EBT25" s="36"/>
      <c r="EBU25" s="36"/>
      <c r="EBV25" s="36"/>
      <c r="EBW25" s="36"/>
      <c r="EBX25" s="36"/>
      <c r="EBY25" s="36"/>
      <c r="EBZ25" s="36"/>
      <c r="ECA25" s="36"/>
      <c r="ECB25" s="36"/>
      <c r="ECC25" s="36"/>
      <c r="ECD25" s="36"/>
      <c r="ECE25" s="36"/>
      <c r="ECF25" s="36"/>
      <c r="ECG25" s="36"/>
      <c r="ECH25" s="36"/>
      <c r="ECI25" s="36"/>
      <c r="ECJ25" s="36"/>
      <c r="ECK25" s="36"/>
      <c r="ECL25" s="36"/>
      <c r="ECM25" s="36"/>
      <c r="ECN25" s="36"/>
      <c r="ECO25" s="36"/>
      <c r="ECP25" s="36"/>
      <c r="ECQ25" s="36"/>
      <c r="ECR25" s="36"/>
      <c r="ECS25" s="36"/>
      <c r="ECT25" s="36"/>
      <c r="ECU25" s="36"/>
      <c r="ECV25" s="36"/>
      <c r="ECW25" s="36"/>
      <c r="ECX25" s="36"/>
      <c r="ECY25" s="36"/>
      <c r="ECZ25" s="36"/>
      <c r="EDA25" s="36"/>
      <c r="EDB25" s="36"/>
      <c r="EDC25" s="36"/>
      <c r="EDD25" s="36"/>
      <c r="EDE25" s="36"/>
      <c r="EDF25" s="36"/>
      <c r="EDG25" s="36"/>
      <c r="EDH25" s="36"/>
      <c r="EDI25" s="36"/>
      <c r="EDJ25" s="36"/>
      <c r="EDK25" s="36"/>
      <c r="EDL25" s="36"/>
      <c r="EDM25" s="36"/>
      <c r="EDN25" s="36"/>
      <c r="EDO25" s="36"/>
      <c r="EDP25" s="36"/>
      <c r="EDQ25" s="36"/>
      <c r="EDR25" s="36"/>
      <c r="EDS25" s="36"/>
      <c r="EDT25" s="36"/>
      <c r="EDU25" s="36"/>
      <c r="EDV25" s="36"/>
      <c r="EDW25" s="36"/>
      <c r="EDX25" s="36"/>
      <c r="EDY25" s="36"/>
      <c r="EDZ25" s="36"/>
      <c r="EEA25" s="36"/>
      <c r="EEB25" s="36"/>
      <c r="EEC25" s="36"/>
      <c r="EED25" s="36"/>
      <c r="EEE25" s="36"/>
      <c r="EEF25" s="36"/>
      <c r="EEG25" s="36"/>
      <c r="EEH25" s="36"/>
      <c r="EEI25" s="36"/>
      <c r="EEJ25" s="36"/>
      <c r="EEK25" s="36"/>
      <c r="EEL25" s="36"/>
      <c r="EEM25" s="36"/>
      <c r="EEN25" s="36"/>
      <c r="EEO25" s="36"/>
      <c r="EEP25" s="36"/>
      <c r="EEQ25" s="36"/>
      <c r="EER25" s="36"/>
      <c r="EES25" s="36"/>
      <c r="EET25" s="36"/>
      <c r="EEU25" s="36"/>
      <c r="EEV25" s="36"/>
      <c r="EEW25" s="36"/>
      <c r="EEX25" s="36"/>
      <c r="EEY25" s="36"/>
      <c r="EEZ25" s="36"/>
      <c r="EFA25" s="36"/>
      <c r="EFB25" s="36"/>
      <c r="EFC25" s="36"/>
      <c r="EFD25" s="36"/>
      <c r="EFE25" s="36"/>
      <c r="EFF25" s="36"/>
      <c r="EFG25" s="36"/>
      <c r="EFH25" s="36"/>
      <c r="EFI25" s="36"/>
      <c r="EFJ25" s="36"/>
      <c r="EFK25" s="36"/>
      <c r="EFL25" s="36"/>
      <c r="EFM25" s="36"/>
      <c r="EFN25" s="36"/>
      <c r="EFO25" s="36"/>
      <c r="EFP25" s="36"/>
      <c r="EFQ25" s="36"/>
      <c r="EFR25" s="36"/>
      <c r="EFS25" s="36"/>
      <c r="EFT25" s="36"/>
      <c r="EFU25" s="36"/>
      <c r="EFV25" s="36"/>
      <c r="EFW25" s="36"/>
      <c r="EFX25" s="36"/>
      <c r="EFY25" s="36"/>
      <c r="EFZ25" s="36"/>
      <c r="EGA25" s="36"/>
      <c r="EGB25" s="36"/>
      <c r="EGC25" s="36"/>
      <c r="EGD25" s="36"/>
      <c r="EGE25" s="36"/>
      <c r="EGF25" s="36"/>
      <c r="EGG25" s="36"/>
      <c r="EGH25" s="36"/>
      <c r="EGI25" s="36"/>
      <c r="EGJ25" s="36"/>
      <c r="EGK25" s="36"/>
      <c r="EGL25" s="36"/>
      <c r="EGM25" s="36"/>
      <c r="EGN25" s="36"/>
      <c r="EGO25" s="36"/>
      <c r="EGP25" s="36"/>
      <c r="EGQ25" s="36"/>
      <c r="EGR25" s="36"/>
      <c r="EGS25" s="36"/>
      <c r="EGT25" s="36"/>
      <c r="EGU25" s="36"/>
      <c r="EGV25" s="36"/>
      <c r="EGW25" s="36"/>
      <c r="EGX25" s="36"/>
      <c r="EGY25" s="36"/>
      <c r="EGZ25" s="36"/>
      <c r="EHA25" s="36"/>
      <c r="EHB25" s="36"/>
      <c r="EHC25" s="36"/>
      <c r="EHD25" s="36"/>
      <c r="EHE25" s="36"/>
      <c r="EHF25" s="36"/>
      <c r="EHG25" s="36"/>
      <c r="EHH25" s="36"/>
      <c r="EHI25" s="36"/>
      <c r="EHJ25" s="36"/>
      <c r="EHK25" s="36"/>
      <c r="EHL25" s="36"/>
      <c r="EHM25" s="36"/>
      <c r="EHN25" s="36"/>
      <c r="EHO25" s="36"/>
      <c r="EHP25" s="36"/>
      <c r="EHQ25" s="36"/>
      <c r="EHR25" s="36"/>
      <c r="EHS25" s="36"/>
      <c r="EHT25" s="36"/>
      <c r="EHU25" s="36"/>
      <c r="EHV25" s="36"/>
      <c r="EHW25" s="36"/>
      <c r="EHX25" s="36"/>
      <c r="EHY25" s="36"/>
      <c r="EHZ25" s="36"/>
      <c r="EIA25" s="36"/>
      <c r="EIB25" s="36"/>
      <c r="EIC25" s="36"/>
      <c r="EID25" s="36"/>
      <c r="EIE25" s="36"/>
      <c r="EIF25" s="36"/>
      <c r="EIG25" s="36"/>
      <c r="EIH25" s="36"/>
      <c r="EII25" s="36"/>
      <c r="EIJ25" s="36"/>
      <c r="EIK25" s="36"/>
      <c r="EIL25" s="36"/>
      <c r="EIM25" s="36"/>
      <c r="EIN25" s="36"/>
      <c r="EIO25" s="36"/>
      <c r="EIP25" s="36"/>
      <c r="EIQ25" s="36"/>
      <c r="EIR25" s="36"/>
      <c r="EIS25" s="36"/>
      <c r="EIT25" s="36"/>
      <c r="EIU25" s="36"/>
      <c r="EIV25" s="36"/>
      <c r="EIW25" s="36"/>
      <c r="EIX25" s="36"/>
      <c r="EIY25" s="36"/>
      <c r="EIZ25" s="36"/>
      <c r="EJA25" s="36"/>
      <c r="EJB25" s="36"/>
      <c r="EJC25" s="36"/>
      <c r="EJD25" s="36"/>
      <c r="EJE25" s="36"/>
      <c r="EJF25" s="36"/>
      <c r="EJG25" s="36"/>
      <c r="EJH25" s="36"/>
      <c r="EJI25" s="36"/>
      <c r="EJJ25" s="36"/>
      <c r="EJK25" s="36"/>
      <c r="EJL25" s="36"/>
      <c r="EJM25" s="36"/>
      <c r="EJN25" s="36"/>
      <c r="EJO25" s="36"/>
      <c r="EJP25" s="36"/>
      <c r="EJQ25" s="36"/>
      <c r="EJR25" s="36"/>
      <c r="EJS25" s="36"/>
      <c r="EJT25" s="36"/>
      <c r="EJU25" s="36"/>
      <c r="EJV25" s="36"/>
      <c r="EJW25" s="36"/>
      <c r="EJX25" s="36"/>
      <c r="EJY25" s="36"/>
      <c r="EJZ25" s="36"/>
      <c r="EKA25" s="36"/>
      <c r="EKB25" s="36"/>
      <c r="EKC25" s="36"/>
      <c r="EKD25" s="36"/>
      <c r="EKE25" s="36"/>
      <c r="EKF25" s="36"/>
      <c r="EKG25" s="36"/>
      <c r="EKH25" s="36"/>
      <c r="EKI25" s="36"/>
      <c r="EKJ25" s="36"/>
      <c r="EKK25" s="36"/>
      <c r="EKL25" s="36"/>
      <c r="EKM25" s="36"/>
      <c r="EKN25" s="36"/>
      <c r="EKO25" s="36"/>
      <c r="EKP25" s="36"/>
      <c r="EKQ25" s="36"/>
      <c r="EKR25" s="36"/>
      <c r="EKS25" s="36"/>
      <c r="EKT25" s="36"/>
      <c r="EKU25" s="36"/>
      <c r="EKV25" s="36"/>
      <c r="EKW25" s="36"/>
      <c r="EKX25" s="36"/>
      <c r="EKY25" s="36"/>
      <c r="EKZ25" s="36"/>
      <c r="ELA25" s="36"/>
      <c r="ELB25" s="36"/>
      <c r="ELC25" s="36"/>
      <c r="ELD25" s="36"/>
      <c r="ELE25" s="36"/>
      <c r="ELF25" s="36"/>
      <c r="ELG25" s="36"/>
      <c r="ELH25" s="36"/>
      <c r="ELI25" s="36"/>
      <c r="ELJ25" s="36"/>
      <c r="ELK25" s="36"/>
      <c r="ELL25" s="36"/>
      <c r="ELM25" s="36"/>
      <c r="ELN25" s="36"/>
      <c r="ELO25" s="36"/>
      <c r="ELP25" s="36"/>
      <c r="ELQ25" s="36"/>
      <c r="ELR25" s="36"/>
      <c r="ELS25" s="36"/>
      <c r="ELT25" s="36"/>
      <c r="ELU25" s="36"/>
      <c r="ELV25" s="36"/>
      <c r="ELW25" s="36"/>
      <c r="ELX25" s="36"/>
      <c r="ELY25" s="36"/>
      <c r="ELZ25" s="36"/>
      <c r="EMA25" s="36"/>
      <c r="EMB25" s="36"/>
      <c r="EMC25" s="36"/>
      <c r="EMD25" s="36"/>
      <c r="EME25" s="36"/>
      <c r="EMF25" s="36"/>
      <c r="EMG25" s="36"/>
      <c r="EMH25" s="36"/>
      <c r="EMI25" s="36"/>
      <c r="EMJ25" s="36"/>
      <c r="EMK25" s="36"/>
      <c r="EML25" s="36"/>
      <c r="EMM25" s="36"/>
      <c r="EMN25" s="36"/>
      <c r="EMO25" s="36"/>
      <c r="EMP25" s="36"/>
      <c r="EMQ25" s="36"/>
      <c r="EMR25" s="36"/>
      <c r="EMS25" s="36"/>
      <c r="EMT25" s="36"/>
      <c r="EMU25" s="36"/>
      <c r="EMV25" s="36"/>
      <c r="EMW25" s="36"/>
      <c r="EMX25" s="36"/>
      <c r="EMY25" s="36"/>
      <c r="EMZ25" s="36"/>
      <c r="ENA25" s="36"/>
      <c r="ENB25" s="36"/>
      <c r="ENC25" s="36"/>
      <c r="END25" s="36"/>
      <c r="ENE25" s="36"/>
      <c r="ENF25" s="36"/>
      <c r="ENG25" s="36"/>
      <c r="ENH25" s="36"/>
      <c r="ENI25" s="36"/>
      <c r="ENJ25" s="36"/>
      <c r="ENK25" s="36"/>
      <c r="ENL25" s="36"/>
      <c r="ENM25" s="36"/>
      <c r="ENN25" s="36"/>
      <c r="ENO25" s="36"/>
      <c r="ENP25" s="36"/>
      <c r="ENQ25" s="36"/>
      <c r="ENR25" s="36"/>
      <c r="ENS25" s="36"/>
      <c r="ENT25" s="36"/>
      <c r="ENU25" s="36"/>
      <c r="ENV25" s="36"/>
      <c r="ENW25" s="36"/>
      <c r="ENX25" s="36"/>
      <c r="ENY25" s="36"/>
      <c r="ENZ25" s="36"/>
      <c r="EOA25" s="36"/>
      <c r="EOB25" s="36"/>
      <c r="EOC25" s="36"/>
      <c r="EOD25" s="36"/>
      <c r="EOE25" s="36"/>
      <c r="EOF25" s="36"/>
      <c r="EOG25" s="36"/>
      <c r="EOH25" s="36"/>
      <c r="EOI25" s="36"/>
      <c r="EOJ25" s="36"/>
      <c r="EOK25" s="36"/>
      <c r="EOL25" s="36"/>
      <c r="EOM25" s="36"/>
      <c r="EON25" s="36"/>
      <c r="EOO25" s="36"/>
      <c r="EOP25" s="36"/>
      <c r="EOQ25" s="36"/>
      <c r="EOR25" s="36"/>
      <c r="EOS25" s="36"/>
      <c r="EOT25" s="36"/>
      <c r="EOU25" s="36"/>
      <c r="EOV25" s="36"/>
      <c r="EOW25" s="36"/>
      <c r="EOX25" s="36"/>
      <c r="EOY25" s="36"/>
      <c r="EOZ25" s="36"/>
      <c r="EPA25" s="36"/>
      <c r="EPB25" s="36"/>
      <c r="EPC25" s="36"/>
      <c r="EPD25" s="36"/>
      <c r="EPE25" s="36"/>
      <c r="EPF25" s="36"/>
      <c r="EPG25" s="36"/>
      <c r="EPH25" s="36"/>
      <c r="EPI25" s="36"/>
      <c r="EPJ25" s="36"/>
      <c r="EPK25" s="36"/>
      <c r="EPL25" s="36"/>
      <c r="EPM25" s="36"/>
      <c r="EPN25" s="36"/>
      <c r="EPO25" s="36"/>
      <c r="EPP25" s="36"/>
      <c r="EPQ25" s="36"/>
      <c r="EPR25" s="36"/>
      <c r="EPS25" s="36"/>
      <c r="EPT25" s="36"/>
      <c r="EPU25" s="36"/>
      <c r="EPV25" s="36"/>
      <c r="EPW25" s="36"/>
      <c r="EPX25" s="36"/>
      <c r="EPY25" s="36"/>
      <c r="EPZ25" s="36"/>
      <c r="EQA25" s="36"/>
      <c r="EQB25" s="36"/>
      <c r="EQC25" s="36"/>
      <c r="EQD25" s="36"/>
      <c r="EQE25" s="36"/>
      <c r="EQF25" s="36"/>
      <c r="EQG25" s="36"/>
      <c r="EQH25" s="36"/>
      <c r="EQI25" s="36"/>
      <c r="EQJ25" s="36"/>
      <c r="EQK25" s="36"/>
      <c r="EQL25" s="36"/>
      <c r="EQM25" s="36"/>
      <c r="EQN25" s="36"/>
      <c r="EQO25" s="36"/>
      <c r="EQP25" s="36"/>
      <c r="EQQ25" s="36"/>
      <c r="EQR25" s="36"/>
      <c r="EQS25" s="36"/>
      <c r="EQT25" s="36"/>
      <c r="EQU25" s="36"/>
      <c r="EQV25" s="36"/>
      <c r="EQW25" s="36"/>
      <c r="EQX25" s="36"/>
      <c r="EQY25" s="36"/>
      <c r="EQZ25" s="36"/>
      <c r="ERA25" s="36"/>
      <c r="ERB25" s="36"/>
      <c r="ERC25" s="36"/>
      <c r="ERD25" s="36"/>
      <c r="ERE25" s="36"/>
      <c r="ERF25" s="36"/>
      <c r="ERG25" s="36"/>
      <c r="ERH25" s="36"/>
      <c r="ERI25" s="36"/>
      <c r="ERJ25" s="36"/>
      <c r="ERK25" s="36"/>
      <c r="ERL25" s="36"/>
      <c r="ERM25" s="36"/>
      <c r="ERN25" s="36"/>
      <c r="ERO25" s="36"/>
      <c r="ERP25" s="36"/>
      <c r="ERQ25" s="36"/>
      <c r="ERR25" s="36"/>
      <c r="ERS25" s="36"/>
      <c r="ERT25" s="36"/>
      <c r="ERU25" s="36"/>
      <c r="ERV25" s="36"/>
      <c r="ERW25" s="36"/>
      <c r="ERX25" s="36"/>
      <c r="ERY25" s="36"/>
      <c r="ERZ25" s="36"/>
      <c r="ESA25" s="36"/>
      <c r="ESB25" s="36"/>
      <c r="ESC25" s="36"/>
      <c r="ESD25" s="36"/>
      <c r="ESE25" s="36"/>
      <c r="ESF25" s="36"/>
      <c r="ESG25" s="36"/>
      <c r="ESH25" s="36"/>
      <c r="ESI25" s="36"/>
      <c r="ESJ25" s="36"/>
      <c r="ESK25" s="36"/>
      <c r="ESL25" s="36"/>
      <c r="ESM25" s="36"/>
      <c r="ESN25" s="36"/>
      <c r="ESO25" s="36"/>
      <c r="ESP25" s="36"/>
      <c r="ESQ25" s="36"/>
      <c r="ESR25" s="36"/>
      <c r="ESS25" s="36"/>
      <c r="EST25" s="36"/>
      <c r="ESU25" s="36"/>
      <c r="ESV25" s="36"/>
      <c r="ESW25" s="36"/>
      <c r="ESX25" s="36"/>
      <c r="ESY25" s="36"/>
      <c r="ESZ25" s="36"/>
      <c r="ETA25" s="36"/>
      <c r="ETB25" s="36"/>
      <c r="ETC25" s="36"/>
      <c r="ETD25" s="36"/>
      <c r="ETE25" s="36"/>
      <c r="ETF25" s="36"/>
      <c r="ETG25" s="36"/>
      <c r="ETH25" s="36"/>
      <c r="ETI25" s="36"/>
      <c r="ETJ25" s="36"/>
      <c r="ETK25" s="36"/>
      <c r="ETL25" s="36"/>
      <c r="ETM25" s="36"/>
      <c r="ETN25" s="36"/>
      <c r="ETO25" s="36"/>
      <c r="ETP25" s="36"/>
      <c r="ETQ25" s="36"/>
      <c r="ETR25" s="36"/>
      <c r="ETS25" s="36"/>
      <c r="ETT25" s="36"/>
      <c r="ETU25" s="36"/>
      <c r="ETV25" s="36"/>
      <c r="ETW25" s="36"/>
      <c r="ETX25" s="36"/>
      <c r="ETY25" s="36"/>
      <c r="ETZ25" s="36"/>
      <c r="EUA25" s="36"/>
      <c r="EUB25" s="36"/>
      <c r="EUC25" s="36"/>
      <c r="EUD25" s="36"/>
      <c r="EUE25" s="36"/>
      <c r="EUF25" s="36"/>
      <c r="EUG25" s="36"/>
      <c r="EUH25" s="36"/>
      <c r="EUI25" s="36"/>
      <c r="EUJ25" s="36"/>
      <c r="EUK25" s="36"/>
      <c r="EUL25" s="36"/>
      <c r="EUM25" s="36"/>
      <c r="EUN25" s="36"/>
      <c r="EUO25" s="36"/>
      <c r="EUP25" s="36"/>
      <c r="EUQ25" s="36"/>
      <c r="EUR25" s="36"/>
      <c r="EUS25" s="36"/>
      <c r="EUT25" s="36"/>
      <c r="EUU25" s="36"/>
      <c r="EUV25" s="36"/>
      <c r="EUW25" s="36"/>
      <c r="EUX25" s="36"/>
      <c r="EUY25" s="36"/>
      <c r="EUZ25" s="36"/>
      <c r="EVA25" s="36"/>
      <c r="EVB25" s="36"/>
      <c r="EVC25" s="36"/>
      <c r="EVD25" s="36"/>
      <c r="EVE25" s="36"/>
      <c r="EVF25" s="36"/>
      <c r="EVG25" s="36"/>
      <c r="EVH25" s="36"/>
      <c r="EVI25" s="36"/>
      <c r="EVJ25" s="36"/>
      <c r="EVK25" s="36"/>
      <c r="EVL25" s="36"/>
      <c r="EVM25" s="36"/>
      <c r="EVN25" s="36"/>
      <c r="EVO25" s="36"/>
      <c r="EVP25" s="36"/>
      <c r="EVQ25" s="36"/>
      <c r="EVR25" s="36"/>
      <c r="EVS25" s="36"/>
      <c r="EVT25" s="36"/>
      <c r="EVU25" s="36"/>
      <c r="EVV25" s="36"/>
      <c r="EVW25" s="36"/>
      <c r="EVX25" s="36"/>
      <c r="EVY25" s="36"/>
      <c r="EVZ25" s="36"/>
      <c r="EWA25" s="36"/>
      <c r="EWB25" s="36"/>
      <c r="EWC25" s="36"/>
      <c r="EWD25" s="36"/>
      <c r="EWE25" s="36"/>
      <c r="EWF25" s="36"/>
      <c r="EWG25" s="36"/>
      <c r="EWH25" s="36"/>
      <c r="EWI25" s="36"/>
      <c r="EWJ25" s="36"/>
      <c r="EWK25" s="36"/>
      <c r="EWL25" s="36"/>
      <c r="EWM25" s="36"/>
      <c r="EWN25" s="36"/>
      <c r="EWO25" s="36"/>
      <c r="EWP25" s="36"/>
      <c r="EWQ25" s="36"/>
      <c r="EWR25" s="36"/>
      <c r="EWS25" s="36"/>
      <c r="EWT25" s="36"/>
      <c r="EWU25" s="36"/>
      <c r="EWV25" s="36"/>
      <c r="EWW25" s="36"/>
      <c r="EWX25" s="36"/>
      <c r="EWY25" s="36"/>
      <c r="EWZ25" s="36"/>
      <c r="EXA25" s="36"/>
      <c r="EXB25" s="36"/>
      <c r="EXC25" s="36"/>
      <c r="EXD25" s="36"/>
      <c r="EXE25" s="36"/>
      <c r="EXF25" s="36"/>
      <c r="EXG25" s="36"/>
      <c r="EXH25" s="36"/>
      <c r="EXI25" s="36"/>
      <c r="EXJ25" s="36"/>
      <c r="EXK25" s="36"/>
      <c r="EXL25" s="36"/>
      <c r="EXM25" s="36"/>
      <c r="EXN25" s="36"/>
      <c r="EXO25" s="36"/>
      <c r="EXP25" s="36"/>
      <c r="EXQ25" s="36"/>
      <c r="EXR25" s="36"/>
      <c r="EXS25" s="36"/>
      <c r="EXT25" s="36"/>
      <c r="EXU25" s="36"/>
      <c r="EXV25" s="36"/>
      <c r="EXW25" s="36"/>
      <c r="EXX25" s="36"/>
      <c r="EXY25" s="36"/>
      <c r="EXZ25" s="36"/>
      <c r="EYA25" s="36"/>
      <c r="EYB25" s="36"/>
      <c r="EYC25" s="36"/>
      <c r="EYD25" s="36"/>
      <c r="EYE25" s="36"/>
      <c r="EYF25" s="36"/>
      <c r="EYG25" s="36"/>
      <c r="EYH25" s="36"/>
      <c r="EYI25" s="36"/>
      <c r="EYJ25" s="36"/>
      <c r="EYK25" s="36"/>
      <c r="EYL25" s="36"/>
      <c r="EYM25" s="36"/>
      <c r="EYN25" s="36"/>
      <c r="EYO25" s="36"/>
      <c r="EYP25" s="36"/>
      <c r="EYQ25" s="36"/>
      <c r="EYR25" s="36"/>
      <c r="EYS25" s="36"/>
      <c r="EYT25" s="36"/>
      <c r="EYU25" s="36"/>
      <c r="EYV25" s="36"/>
      <c r="EYW25" s="36"/>
      <c r="EYX25" s="36"/>
      <c r="EYY25" s="36"/>
      <c r="EYZ25" s="36"/>
      <c r="EZA25" s="36"/>
      <c r="EZB25" s="36"/>
      <c r="EZC25" s="36"/>
      <c r="EZD25" s="36"/>
      <c r="EZE25" s="36"/>
      <c r="EZF25" s="36"/>
      <c r="EZG25" s="36"/>
      <c r="EZH25" s="36"/>
      <c r="EZI25" s="36"/>
      <c r="EZJ25" s="36"/>
      <c r="EZK25" s="36"/>
      <c r="EZL25" s="36"/>
      <c r="EZM25" s="36"/>
      <c r="EZN25" s="36"/>
      <c r="EZO25" s="36"/>
      <c r="EZP25" s="36"/>
      <c r="EZQ25" s="36"/>
      <c r="EZR25" s="36"/>
      <c r="EZS25" s="36"/>
      <c r="EZT25" s="36"/>
      <c r="EZU25" s="36"/>
      <c r="EZV25" s="36"/>
      <c r="EZW25" s="36"/>
      <c r="EZX25" s="36"/>
      <c r="EZY25" s="36"/>
      <c r="EZZ25" s="36"/>
      <c r="FAA25" s="36"/>
      <c r="FAB25" s="36"/>
      <c r="FAC25" s="36"/>
      <c r="FAD25" s="36"/>
      <c r="FAE25" s="36"/>
      <c r="FAF25" s="36"/>
      <c r="FAG25" s="36"/>
      <c r="FAH25" s="36"/>
      <c r="FAI25" s="36"/>
      <c r="FAJ25" s="36"/>
      <c r="FAK25" s="36"/>
      <c r="FAL25" s="36"/>
      <c r="FAM25" s="36"/>
      <c r="FAN25" s="36"/>
      <c r="FAO25" s="36"/>
      <c r="FAP25" s="36"/>
      <c r="FAQ25" s="36"/>
      <c r="FAR25" s="36"/>
      <c r="FAS25" s="36"/>
      <c r="FAT25" s="36"/>
      <c r="FAU25" s="36"/>
      <c r="FAV25" s="36"/>
      <c r="FAW25" s="36"/>
      <c r="FAX25" s="36"/>
      <c r="FAY25" s="36"/>
      <c r="FAZ25" s="36"/>
      <c r="FBA25" s="36"/>
      <c r="FBB25" s="36"/>
      <c r="FBC25" s="36"/>
      <c r="FBD25" s="36"/>
      <c r="FBE25" s="36"/>
      <c r="FBF25" s="36"/>
      <c r="FBG25" s="36"/>
      <c r="FBH25" s="36"/>
      <c r="FBI25" s="36"/>
      <c r="FBJ25" s="36"/>
      <c r="FBK25" s="36"/>
      <c r="FBL25" s="36"/>
      <c r="FBM25" s="36"/>
      <c r="FBN25" s="36"/>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c r="XEN25" s="36"/>
      <c r="XEO25" s="36"/>
      <c r="XEP25" s="36"/>
      <c r="XEQ25" s="36"/>
      <c r="XER25" s="36"/>
      <c r="XES25" s="36"/>
      <c r="XET25" s="36"/>
    </row>
  </sheetData>
  <dataValidations count="4">
    <dataValidation type="list" allowBlank="1" showInputMessage="1" showErrorMessage="1" sqref="F9:H9">
      <formula1>"Remove Mobile Only HHs, All HHs"</formula1>
    </dataValidation>
    <dataValidation type="list" allowBlank="1" showInputMessage="1" showErrorMessage="1" sqref="F18:H18 E7 I7:K7 I11:K13 F16:H16">
      <formula1>"Low, Medium, High, Spare"</formula1>
    </dataValidation>
    <dataValidation type="list" allowBlank="1" showInputMessage="1" showErrorMessage="1" sqref="F22:H22 F24:H24 D4 F20:H20">
      <formula1>"Low, Medium, High"</formula1>
    </dataValidation>
    <dataValidation type="list" allowBlank="1" showInputMessage="1" showErrorMessage="1" sqref="F7:H7 F11:H11">
      <formula1>"Base, Alternative"</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worksheet>
</file>

<file path=xl/worksheets/sheet6.xml><?xml version="1.0" encoding="utf-8"?>
<worksheet xmlns="http://schemas.openxmlformats.org/spreadsheetml/2006/main" xmlns:r="http://schemas.openxmlformats.org/officeDocument/2006/relationships">
  <sheetPr codeName="Sheet11">
    <pageSetUpPr autoPageBreaks="0"/>
  </sheetPr>
  <dimension ref="A1:R74"/>
  <sheetViews>
    <sheetView showGridLines="0" defaultGridColor="0" colorId="22" zoomScaleNormal="100" workbookViewId="0">
      <pane xSplit="5" ySplit="2" topLeftCell="F21" activePane="bottomRight" state="frozen"/>
      <selection activeCell="B42" sqref="B42"/>
      <selection pane="topRight" activeCell="B42" sqref="B42"/>
      <selection pane="bottomLeft" activeCell="B42" sqref="B42"/>
      <selection pane="bottomRight" activeCell="K53" sqref="K53"/>
    </sheetView>
  </sheetViews>
  <sheetFormatPr defaultColWidth="12.7109375" defaultRowHeight="12"/>
  <cols>
    <col min="1" max="1" width="5" style="44" customWidth="1"/>
    <col min="2" max="2" width="32.5703125" style="39" customWidth="1"/>
    <col min="3" max="3" width="14.85546875" style="76" customWidth="1"/>
    <col min="4" max="4" width="7.28515625" style="44" customWidth="1"/>
    <col min="5" max="5" width="1.140625" style="44" customWidth="1"/>
    <col min="6" max="14" width="12.28515625" style="44" customWidth="1"/>
    <col min="15" max="16384" width="12.7109375" style="44"/>
  </cols>
  <sheetData>
    <row r="1" spans="1:18" s="39" customFormat="1" ht="32.25" customHeight="1">
      <c r="A1" s="45" t="s">
        <v>158</v>
      </c>
      <c r="C1" s="76"/>
      <c r="N1" s="39" t="s">
        <v>33</v>
      </c>
    </row>
    <row r="2" spans="1:18" s="88" customFormat="1" ht="15.75" customHeight="1">
      <c r="B2" s="164"/>
      <c r="C2" s="89"/>
      <c r="D2" s="210" t="s">
        <v>89</v>
      </c>
      <c r="E2" s="210"/>
      <c r="F2" s="210" t="s">
        <v>90</v>
      </c>
      <c r="G2" s="210" t="s">
        <v>91</v>
      </c>
      <c r="H2" s="210" t="s">
        <v>92</v>
      </c>
      <c r="I2" s="210" t="s">
        <v>93</v>
      </c>
      <c r="J2" s="210" t="s">
        <v>94</v>
      </c>
      <c r="K2" s="210" t="s">
        <v>95</v>
      </c>
      <c r="L2" s="210" t="s">
        <v>96</v>
      </c>
      <c r="M2" s="210" t="s">
        <v>97</v>
      </c>
      <c r="N2" s="210" t="s">
        <v>98</v>
      </c>
    </row>
    <row r="3" spans="1:18" ht="15.75">
      <c r="A3" s="9" t="s">
        <v>88</v>
      </c>
    </row>
    <row r="4" spans="1:18">
      <c r="B4" s="36" t="s">
        <v>87</v>
      </c>
      <c r="D4" s="44" t="s">
        <v>99</v>
      </c>
      <c r="F4" s="54">
        <v>61.398000000000003</v>
      </c>
      <c r="G4" s="54">
        <v>61.792000000000002</v>
      </c>
      <c r="H4" s="54">
        <v>62.262</v>
      </c>
      <c r="I4" s="54">
        <v>62.734999999999999</v>
      </c>
      <c r="J4" s="54">
        <v>63.244</v>
      </c>
      <c r="K4" s="54">
        <v>63.758000000000003</v>
      </c>
      <c r="L4" s="54">
        <v>64.271000000000001</v>
      </c>
      <c r="M4" s="54">
        <v>64.775999999999996</v>
      </c>
      <c r="N4" s="54">
        <v>65.271000000000001</v>
      </c>
      <c r="O4" s="56" t="s">
        <v>101</v>
      </c>
    </row>
    <row r="5" spans="1:18">
      <c r="B5" s="64"/>
    </row>
    <row r="6" spans="1:18">
      <c r="B6" s="36" t="s">
        <v>80</v>
      </c>
      <c r="D6" s="44" t="s">
        <v>99</v>
      </c>
      <c r="E6" s="90"/>
      <c r="F6" s="92"/>
      <c r="G6" s="92"/>
      <c r="H6" s="92"/>
      <c r="I6" s="54">
        <v>26.521381000000002</v>
      </c>
      <c r="J6" s="54">
        <v>26.794432000000004</v>
      </c>
      <c r="K6" s="54">
        <v>27.065335999999999</v>
      </c>
      <c r="L6" s="54">
        <v>27.337139000000001</v>
      </c>
      <c r="M6" s="54">
        <v>27.608407</v>
      </c>
      <c r="N6" s="54">
        <v>27.880552999999999</v>
      </c>
      <c r="O6" s="55" t="s">
        <v>100</v>
      </c>
    </row>
    <row r="7" spans="1:18">
      <c r="A7" s="118"/>
      <c r="B7" s="64" t="s">
        <v>200</v>
      </c>
      <c r="C7" s="60"/>
      <c r="D7" s="60"/>
      <c r="E7" s="60"/>
      <c r="F7" s="60"/>
      <c r="G7" s="62"/>
      <c r="H7" s="62"/>
      <c r="I7" s="161">
        <v>2.3596164659539425</v>
      </c>
      <c r="J7" s="161">
        <v>2.3574300923554845</v>
      </c>
      <c r="K7" s="161">
        <v>2.3556625337916772</v>
      </c>
      <c r="L7" s="161">
        <v>2.3534674738654728</v>
      </c>
      <c r="M7" s="161">
        <v>2.3508479105936542</v>
      </c>
      <c r="N7" s="161">
        <v>2.3477120218394929</v>
      </c>
      <c r="O7" s="56" t="s">
        <v>287</v>
      </c>
      <c r="Q7" s="62"/>
      <c r="R7" s="62"/>
    </row>
    <row r="8" spans="1:18" s="65" customFormat="1">
      <c r="I8" s="92"/>
      <c r="J8" s="92"/>
      <c r="K8" s="92"/>
      <c r="L8" s="92"/>
      <c r="M8" s="92"/>
      <c r="N8" s="92"/>
    </row>
    <row r="9" spans="1:18">
      <c r="B9" s="64" t="s">
        <v>137</v>
      </c>
      <c r="D9" s="44" t="s">
        <v>99</v>
      </c>
      <c r="F9" s="54">
        <v>1.225455</v>
      </c>
      <c r="G9" s="54">
        <v>1.2212000000000001</v>
      </c>
      <c r="H9" s="54">
        <v>1.201395</v>
      </c>
      <c r="I9" s="54">
        <v>1.1724250000000001</v>
      </c>
      <c r="O9" s="56" t="s">
        <v>211</v>
      </c>
    </row>
    <row r="10" spans="1:18">
      <c r="B10" s="64"/>
      <c r="F10" s="92"/>
      <c r="G10" s="92"/>
      <c r="H10" s="92"/>
      <c r="I10" s="92"/>
    </row>
    <row r="11" spans="1:18">
      <c r="B11" s="64"/>
      <c r="F11" s="92"/>
      <c r="G11" s="92"/>
      <c r="H11" s="92"/>
      <c r="I11" s="92"/>
    </row>
    <row r="12" spans="1:18" ht="15.75">
      <c r="A12" s="9" t="s">
        <v>231</v>
      </c>
      <c r="B12" s="165"/>
      <c r="C12" s="60"/>
      <c r="D12" s="60"/>
      <c r="E12" s="60"/>
      <c r="F12" s="60"/>
      <c r="G12" s="205"/>
      <c r="H12" s="205"/>
      <c r="I12" s="205"/>
      <c r="J12" s="205"/>
      <c r="K12" s="205"/>
      <c r="L12" s="205"/>
      <c r="M12" s="205"/>
      <c r="N12" s="205"/>
      <c r="O12" s="61"/>
      <c r="P12" s="56"/>
      <c r="Q12" s="61"/>
      <c r="R12" s="61"/>
    </row>
    <row r="13" spans="1:18">
      <c r="B13" s="64" t="s">
        <v>288</v>
      </c>
      <c r="C13" s="91"/>
      <c r="G13" s="204">
        <v>100</v>
      </c>
      <c r="H13" s="204">
        <v>101.8</v>
      </c>
      <c r="I13" s="204">
        <v>102.7</v>
      </c>
      <c r="J13" s="204">
        <v>102.9</v>
      </c>
      <c r="K13" s="204">
        <v>103.6</v>
      </c>
      <c r="L13" s="204">
        <v>105.4</v>
      </c>
      <c r="M13" s="204">
        <v>107.8</v>
      </c>
      <c r="N13" s="204">
        <v>110.7</v>
      </c>
      <c r="O13" s="56" t="s">
        <v>271</v>
      </c>
    </row>
    <row r="14" spans="1:18">
      <c r="A14" s="60"/>
      <c r="B14" s="165"/>
      <c r="C14" s="60"/>
      <c r="D14" s="60"/>
      <c r="E14" s="60"/>
      <c r="F14" s="60"/>
      <c r="G14" s="176"/>
      <c r="H14" s="176"/>
      <c r="I14" s="176"/>
      <c r="J14" s="176"/>
      <c r="K14" s="176"/>
      <c r="L14" s="176"/>
      <c r="M14" s="176"/>
      <c r="N14" s="176"/>
      <c r="O14" s="176"/>
      <c r="P14" s="56"/>
      <c r="Q14" s="176"/>
      <c r="R14" s="176"/>
    </row>
    <row r="15" spans="1:18">
      <c r="F15" s="131"/>
      <c r="G15" s="131"/>
      <c r="H15" s="131"/>
      <c r="I15" s="69"/>
      <c r="J15" s="69"/>
      <c r="K15" s="69"/>
      <c r="L15" s="69"/>
      <c r="M15" s="69"/>
      <c r="N15" s="69"/>
    </row>
    <row r="16" spans="1:18" ht="15.75">
      <c r="A16" s="9" t="s">
        <v>81</v>
      </c>
    </row>
    <row r="17" spans="1:15">
      <c r="B17" s="64" t="s">
        <v>136</v>
      </c>
      <c r="C17" s="91"/>
      <c r="D17" s="44" t="s">
        <v>112</v>
      </c>
      <c r="F17" s="167">
        <v>0.12</v>
      </c>
      <c r="G17" s="167">
        <v>0.14000000000000001</v>
      </c>
      <c r="H17" s="167">
        <v>0.15</v>
      </c>
      <c r="I17" s="167">
        <v>0.15</v>
      </c>
      <c r="O17" s="56" t="s">
        <v>202</v>
      </c>
    </row>
    <row r="18" spans="1:15" ht="12" customHeight="1">
      <c r="A18" s="9"/>
    </row>
    <row r="19" spans="1:15">
      <c r="B19" s="64" t="s">
        <v>102</v>
      </c>
      <c r="C19" s="91" t="s">
        <v>143</v>
      </c>
      <c r="D19" s="44" t="s">
        <v>99</v>
      </c>
      <c r="F19" s="54">
        <v>23.503098919817791</v>
      </c>
      <c r="G19" s="54">
        <v>23.375829129849141</v>
      </c>
      <c r="H19" s="54">
        <v>23.602702906568378</v>
      </c>
      <c r="I19" s="54">
        <v>23.849859974137932</v>
      </c>
      <c r="O19" s="56" t="s">
        <v>212</v>
      </c>
    </row>
    <row r="20" spans="1:15">
      <c r="B20" s="64" t="s">
        <v>103</v>
      </c>
      <c r="C20" s="91" t="s">
        <v>144</v>
      </c>
      <c r="D20" s="44" t="s">
        <v>99</v>
      </c>
      <c r="F20" s="54">
        <v>5.1311693237507443</v>
      </c>
      <c r="G20" s="54">
        <v>5.0610859823058254</v>
      </c>
      <c r="H20" s="54">
        <v>5.0088298483674585</v>
      </c>
      <c r="I20" s="54">
        <v>4.9107782764113672</v>
      </c>
      <c r="O20" s="56" t="s">
        <v>212</v>
      </c>
    </row>
    <row r="21" spans="1:15">
      <c r="B21" s="64" t="s">
        <v>113</v>
      </c>
      <c r="C21" s="91" t="s">
        <v>145</v>
      </c>
      <c r="D21" s="44" t="s">
        <v>99</v>
      </c>
      <c r="F21" s="69">
        <f>F20+F19</f>
        <v>28.634268243568535</v>
      </c>
      <c r="G21" s="69">
        <f>G20+G19</f>
        <v>28.436915112154967</v>
      </c>
      <c r="H21" s="69">
        <f>H20+H19</f>
        <v>28.611532754935837</v>
      </c>
      <c r="I21" s="69">
        <f>I20+I19</f>
        <v>28.760638250549299</v>
      </c>
    </row>
    <row r="22" spans="1:15">
      <c r="B22" s="64"/>
      <c r="C22" s="91"/>
      <c r="F22" s="69"/>
      <c r="G22" s="69"/>
      <c r="H22" s="69"/>
      <c r="I22" s="69"/>
    </row>
    <row r="23" spans="1:15">
      <c r="C23" s="91"/>
      <c r="O23" s="56"/>
    </row>
    <row r="24" spans="1:15">
      <c r="B24" s="64" t="s">
        <v>146</v>
      </c>
      <c r="C24" s="91" t="s">
        <v>153</v>
      </c>
      <c r="D24" s="44" t="s">
        <v>99</v>
      </c>
      <c r="F24" s="54">
        <v>23.556999999999999</v>
      </c>
      <c r="G24" s="54">
        <v>22.199000000000002</v>
      </c>
      <c r="H24" s="54">
        <v>20.692</v>
      </c>
      <c r="I24" s="54">
        <v>19.399000000000001</v>
      </c>
      <c r="J24" s="92"/>
      <c r="K24" s="92"/>
      <c r="L24" s="92"/>
      <c r="M24" s="92"/>
      <c r="N24" s="92"/>
      <c r="O24" s="56" t="s">
        <v>152</v>
      </c>
    </row>
    <row r="25" spans="1:15">
      <c r="B25" s="64" t="s">
        <v>147</v>
      </c>
      <c r="C25" s="91" t="s">
        <v>154</v>
      </c>
      <c r="D25" s="44" t="s">
        <v>99</v>
      </c>
      <c r="F25" s="136">
        <v>1.4690000000000001</v>
      </c>
      <c r="G25" s="136">
        <v>2.2229999999999999</v>
      </c>
      <c r="H25" s="136">
        <v>3.7890000000000001</v>
      </c>
      <c r="I25" s="136">
        <v>4.9619999999999997</v>
      </c>
      <c r="J25" s="92"/>
      <c r="K25" s="92"/>
      <c r="L25" s="92"/>
      <c r="M25" s="92"/>
      <c r="N25" s="92"/>
      <c r="O25" s="56" t="s">
        <v>152</v>
      </c>
    </row>
    <row r="26" spans="1:15">
      <c r="B26" s="64" t="s">
        <v>113</v>
      </c>
      <c r="C26" s="91"/>
      <c r="D26" s="44" t="s">
        <v>99</v>
      </c>
      <c r="F26" s="69">
        <v>25.026</v>
      </c>
      <c r="G26" s="69">
        <v>24.422000000000001</v>
      </c>
      <c r="H26" s="69">
        <v>24.481000000000002</v>
      </c>
      <c r="I26" s="69">
        <v>24.361000000000001</v>
      </c>
      <c r="J26" s="65"/>
      <c r="K26" s="65"/>
      <c r="L26" s="65"/>
      <c r="M26" s="65"/>
      <c r="N26" s="65"/>
    </row>
    <row r="27" spans="1:15">
      <c r="B27" s="64"/>
      <c r="C27" s="91"/>
      <c r="F27" s="69"/>
      <c r="G27" s="69"/>
      <c r="H27" s="69"/>
      <c r="I27" s="69"/>
      <c r="J27" s="65"/>
      <c r="K27" s="65"/>
      <c r="L27" s="65"/>
      <c r="M27" s="65"/>
      <c r="N27" s="65"/>
    </row>
    <row r="28" spans="1:15">
      <c r="B28" s="64" t="s">
        <v>291</v>
      </c>
      <c r="C28" s="91" t="s">
        <v>155</v>
      </c>
      <c r="D28" s="44" t="s">
        <v>99</v>
      </c>
      <c r="F28" s="136">
        <v>11.645</v>
      </c>
      <c r="G28" s="136">
        <v>12.089</v>
      </c>
      <c r="H28" s="136">
        <v>11.218</v>
      </c>
      <c r="I28" s="136">
        <v>10.843999999999999</v>
      </c>
      <c r="J28" s="92"/>
      <c r="K28" s="92"/>
      <c r="L28" s="92"/>
      <c r="M28" s="92"/>
      <c r="N28" s="92"/>
      <c r="O28" s="56" t="s">
        <v>152</v>
      </c>
    </row>
    <row r="29" spans="1:15">
      <c r="B29" s="64" t="s">
        <v>292</v>
      </c>
      <c r="C29" s="91"/>
      <c r="D29" s="44" t="s">
        <v>99</v>
      </c>
      <c r="F29" s="92"/>
      <c r="G29" s="136">
        <v>8.1430000000000007</v>
      </c>
      <c r="H29" s="136">
        <v>7.7380000000000004</v>
      </c>
      <c r="I29" s="136">
        <v>7.9139999999999997</v>
      </c>
      <c r="J29" s="92"/>
      <c r="K29" s="92"/>
      <c r="L29" s="92"/>
      <c r="M29" s="92"/>
      <c r="N29" s="92"/>
      <c r="O29" s="56"/>
    </row>
    <row r="30" spans="1:15">
      <c r="B30" s="64"/>
      <c r="F30" s="92"/>
      <c r="G30" s="92"/>
      <c r="H30" s="92"/>
      <c r="I30" s="92"/>
      <c r="J30" s="92"/>
      <c r="K30" s="92"/>
      <c r="L30" s="92"/>
      <c r="M30" s="92"/>
      <c r="N30" s="92"/>
      <c r="O30" s="56"/>
    </row>
    <row r="32" spans="1:15" ht="15.75">
      <c r="A32" s="9" t="s">
        <v>290</v>
      </c>
    </row>
    <row r="33" spans="2:15">
      <c r="B33" s="36" t="s">
        <v>117</v>
      </c>
      <c r="G33" s="199">
        <v>13728813</v>
      </c>
      <c r="H33" s="199">
        <v>12250928</v>
      </c>
      <c r="I33" s="199">
        <v>11418728</v>
      </c>
      <c r="O33" s="56" t="s">
        <v>152</v>
      </c>
    </row>
    <row r="34" spans="2:15">
      <c r="B34" s="36" t="s">
        <v>118</v>
      </c>
      <c r="G34" s="199">
        <v>3176807</v>
      </c>
      <c r="H34" s="199">
        <v>3127373</v>
      </c>
      <c r="I34" s="199">
        <v>3191445</v>
      </c>
      <c r="O34" s="56" t="s">
        <v>152</v>
      </c>
    </row>
    <row r="35" spans="2:15">
      <c r="B35" s="36" t="s">
        <v>119</v>
      </c>
      <c r="C35" s="44"/>
      <c r="G35" s="199">
        <v>3609219</v>
      </c>
      <c r="H35" s="199">
        <v>3487124</v>
      </c>
      <c r="I35" s="199">
        <v>3026492</v>
      </c>
      <c r="O35" s="56" t="s">
        <v>152</v>
      </c>
    </row>
    <row r="36" spans="2:15">
      <c r="B36" s="36" t="s">
        <v>120</v>
      </c>
      <c r="G36" s="199">
        <v>1684192</v>
      </c>
      <c r="H36" s="199">
        <v>1826284</v>
      </c>
      <c r="I36" s="199">
        <v>1762117</v>
      </c>
      <c r="O36" s="56" t="s">
        <v>152</v>
      </c>
    </row>
    <row r="37" spans="2:15">
      <c r="B37" s="36"/>
      <c r="O37" s="56"/>
    </row>
    <row r="38" spans="2:15">
      <c r="B38" s="112" t="s">
        <v>121</v>
      </c>
      <c r="G38" s="199">
        <v>562789</v>
      </c>
      <c r="H38" s="199">
        <v>555669</v>
      </c>
      <c r="I38" s="199">
        <v>569401</v>
      </c>
      <c r="O38" s="56" t="s">
        <v>152</v>
      </c>
    </row>
    <row r="39" spans="2:15">
      <c r="B39" s="112" t="s">
        <v>122</v>
      </c>
      <c r="G39" s="199">
        <v>408693</v>
      </c>
      <c r="H39" s="199">
        <v>330002</v>
      </c>
      <c r="I39" s="199">
        <v>317101</v>
      </c>
      <c r="O39" s="56" t="s">
        <v>152</v>
      </c>
    </row>
    <row r="40" spans="2:15">
      <c r="B40" s="77" t="s">
        <v>289</v>
      </c>
      <c r="G40" s="199">
        <v>717579</v>
      </c>
      <c r="H40" s="199">
        <v>739455</v>
      </c>
      <c r="I40" s="199">
        <v>534313</v>
      </c>
      <c r="O40" s="56" t="s">
        <v>152</v>
      </c>
    </row>
    <row r="41" spans="2:15">
      <c r="B41" s="112" t="s">
        <v>167</v>
      </c>
      <c r="G41" s="199">
        <v>2594413</v>
      </c>
      <c r="H41" s="199">
        <v>1521075</v>
      </c>
      <c r="I41" s="199">
        <v>1119313</v>
      </c>
      <c r="O41" s="56" t="s">
        <v>152</v>
      </c>
    </row>
    <row r="42" spans="2:15">
      <c r="B42" s="112" t="s">
        <v>168</v>
      </c>
      <c r="G42" s="199">
        <v>2162809</v>
      </c>
      <c r="H42" s="199">
        <v>1389783</v>
      </c>
      <c r="I42" s="199">
        <v>612297</v>
      </c>
      <c r="O42" s="56" t="s">
        <v>152</v>
      </c>
    </row>
    <row r="43" spans="2:15">
      <c r="B43" s="36"/>
    </row>
    <row r="44" spans="2:15">
      <c r="B44" s="112" t="s">
        <v>105</v>
      </c>
      <c r="G44" s="199">
        <v>44000</v>
      </c>
      <c r="H44" s="199">
        <v>626000</v>
      </c>
      <c r="I44" s="199">
        <v>1204000</v>
      </c>
      <c r="K44" s="129"/>
      <c r="L44" s="129"/>
      <c r="M44" s="129"/>
      <c r="O44" s="56" t="s">
        <v>152</v>
      </c>
    </row>
    <row r="45" spans="2:15">
      <c r="B45" s="112" t="s">
        <v>106</v>
      </c>
      <c r="G45" s="199">
        <v>956000</v>
      </c>
      <c r="H45" s="199">
        <v>1224000</v>
      </c>
      <c r="I45" s="199">
        <v>768000</v>
      </c>
      <c r="K45" s="129"/>
      <c r="L45" s="129"/>
      <c r="M45" s="129"/>
      <c r="O45" s="56" t="s">
        <v>152</v>
      </c>
    </row>
    <row r="46" spans="2:15">
      <c r="B46" s="112" t="s">
        <v>107</v>
      </c>
      <c r="G46" s="199">
        <v>621000</v>
      </c>
      <c r="H46" s="199">
        <v>103000</v>
      </c>
      <c r="I46" s="199">
        <v>410000</v>
      </c>
      <c r="K46" s="129"/>
      <c r="L46" s="129"/>
      <c r="M46" s="129"/>
      <c r="O46" s="56" t="s">
        <v>152</v>
      </c>
    </row>
    <row r="47" spans="2:15">
      <c r="B47" s="112" t="s">
        <v>108</v>
      </c>
      <c r="G47" s="199">
        <v>447000</v>
      </c>
      <c r="H47" s="199">
        <v>968000</v>
      </c>
      <c r="I47" s="199">
        <v>1170000</v>
      </c>
      <c r="K47" s="129"/>
      <c r="L47" s="129"/>
      <c r="M47" s="129"/>
      <c r="O47" s="56" t="s">
        <v>152</v>
      </c>
    </row>
    <row r="48" spans="2:15">
      <c r="B48" s="112" t="s">
        <v>352</v>
      </c>
      <c r="G48" s="199"/>
      <c r="H48" s="199">
        <v>151000</v>
      </c>
      <c r="I48" s="199">
        <v>367000</v>
      </c>
      <c r="K48" s="129"/>
      <c r="L48" s="129"/>
      <c r="M48" s="129"/>
      <c r="O48" s="56"/>
    </row>
    <row r="49" spans="1:16">
      <c r="B49" s="112" t="s">
        <v>109</v>
      </c>
      <c r="G49" s="199">
        <v>600</v>
      </c>
      <c r="H49" s="199">
        <v>1500</v>
      </c>
      <c r="I49" s="199">
        <v>1500</v>
      </c>
      <c r="K49" s="129"/>
      <c r="L49" s="129"/>
      <c r="M49" s="129"/>
      <c r="N49" s="92"/>
      <c r="O49" s="56" t="s">
        <v>152</v>
      </c>
    </row>
    <row r="50" spans="1:16">
      <c r="B50" s="112" t="s">
        <v>110</v>
      </c>
      <c r="G50" s="199">
        <v>10000</v>
      </c>
      <c r="H50" s="199">
        <v>13000</v>
      </c>
      <c r="I50" s="199">
        <v>13000</v>
      </c>
      <c r="K50" s="129"/>
      <c r="L50" s="129"/>
      <c r="M50" s="129"/>
      <c r="O50" s="56" t="s">
        <v>152</v>
      </c>
    </row>
    <row r="51" spans="1:16">
      <c r="B51" s="112" t="s">
        <v>111</v>
      </c>
      <c r="G51" s="199">
        <v>26000</v>
      </c>
      <c r="H51" s="199">
        <v>649000</v>
      </c>
      <c r="I51" s="199">
        <v>930000</v>
      </c>
      <c r="K51" s="129"/>
      <c r="L51" s="129"/>
      <c r="M51" s="129"/>
      <c r="O51" s="56" t="s">
        <v>152</v>
      </c>
    </row>
    <row r="52" spans="1:16">
      <c r="B52" s="44"/>
      <c r="K52" s="129"/>
      <c r="L52" s="129"/>
      <c r="M52" s="129"/>
    </row>
    <row r="53" spans="1:16">
      <c r="B53" s="112" t="s">
        <v>131</v>
      </c>
      <c r="D53" s="73"/>
      <c r="G53" s="199">
        <v>3002000</v>
      </c>
      <c r="H53" s="199">
        <v>2715000</v>
      </c>
      <c r="I53" s="199">
        <v>2566000</v>
      </c>
      <c r="K53" s="129"/>
      <c r="L53" s="129"/>
      <c r="M53" s="129"/>
      <c r="O53" s="56" t="s">
        <v>152</v>
      </c>
    </row>
    <row r="54" spans="1:16">
      <c r="B54" s="112" t="s">
        <v>132</v>
      </c>
      <c r="D54" s="73"/>
      <c r="G54" s="199">
        <v>324000</v>
      </c>
      <c r="H54" s="199">
        <v>393000</v>
      </c>
      <c r="I54" s="199">
        <v>312000</v>
      </c>
      <c r="K54" s="129"/>
      <c r="L54" s="129"/>
      <c r="M54" s="129"/>
      <c r="O54" s="56" t="s">
        <v>152</v>
      </c>
    </row>
    <row r="55" spans="1:16">
      <c r="B55" s="112" t="s">
        <v>133</v>
      </c>
      <c r="D55" s="73"/>
      <c r="G55" s="199">
        <v>103000</v>
      </c>
      <c r="H55" s="199">
        <v>202000</v>
      </c>
      <c r="I55" s="199">
        <v>398000</v>
      </c>
      <c r="K55" s="129"/>
      <c r="L55" s="129"/>
      <c r="M55" s="129"/>
      <c r="O55" s="56" t="s">
        <v>152</v>
      </c>
    </row>
    <row r="56" spans="1:16">
      <c r="B56" s="112" t="s">
        <v>134</v>
      </c>
      <c r="D56" s="73"/>
      <c r="G56" s="199">
        <v>2675000</v>
      </c>
      <c r="H56" s="199">
        <v>2115000</v>
      </c>
      <c r="I56" s="199">
        <v>2235000</v>
      </c>
      <c r="K56" s="129"/>
      <c r="L56" s="129"/>
      <c r="M56" s="129"/>
      <c r="O56" s="56" t="s">
        <v>152</v>
      </c>
    </row>
    <row r="57" spans="1:16">
      <c r="B57" s="112" t="s">
        <v>361</v>
      </c>
      <c r="G57" s="199"/>
      <c r="H57" s="199">
        <v>408000</v>
      </c>
      <c r="I57" s="199">
        <v>483000</v>
      </c>
      <c r="K57" s="129"/>
      <c r="L57" s="129"/>
      <c r="M57" s="129"/>
      <c r="O57" s="56" t="s">
        <v>152</v>
      </c>
    </row>
    <row r="58" spans="1:16">
      <c r="B58" s="112" t="s">
        <v>270</v>
      </c>
      <c r="D58" s="103"/>
      <c r="G58" s="199"/>
      <c r="H58" s="199"/>
      <c r="I58" s="199"/>
      <c r="O58" s="56" t="s">
        <v>152</v>
      </c>
    </row>
    <row r="59" spans="1:16">
      <c r="B59" s="67"/>
    </row>
    <row r="61" spans="1:16" ht="15.75">
      <c r="A61" s="9" t="s">
        <v>224</v>
      </c>
      <c r="C61" s="91"/>
      <c r="G61" s="36"/>
      <c r="H61" s="36"/>
      <c r="I61" s="36"/>
      <c r="J61" s="36"/>
      <c r="K61" s="36"/>
      <c r="L61" s="36"/>
      <c r="M61" s="36"/>
      <c r="N61" s="36"/>
    </row>
    <row r="62" spans="1:16">
      <c r="A62" s="65"/>
      <c r="B62" s="64" t="s">
        <v>248</v>
      </c>
      <c r="C62" s="44"/>
      <c r="D62" s="44" t="s">
        <v>99</v>
      </c>
      <c r="G62" s="200">
        <v>0</v>
      </c>
      <c r="H62" s="200">
        <v>1E-3</v>
      </c>
      <c r="I62" s="200">
        <v>4.0000000000000001E-3</v>
      </c>
      <c r="J62" s="65"/>
      <c r="K62" s="65"/>
      <c r="L62" s="65"/>
      <c r="M62" s="65"/>
      <c r="N62" s="65"/>
      <c r="O62" s="56"/>
      <c r="P62" s="68"/>
    </row>
    <row r="63" spans="1:16">
      <c r="A63" s="65"/>
      <c r="B63" s="64" t="s">
        <v>247</v>
      </c>
      <c r="C63" s="91" t="s">
        <v>246</v>
      </c>
      <c r="D63" s="44" t="s">
        <v>99</v>
      </c>
      <c r="G63" s="200">
        <f>G62/2</f>
        <v>0</v>
      </c>
      <c r="H63" s="200">
        <f t="shared" ref="H63:I63" si="0">(H62-G62)/2+G62</f>
        <v>5.0000000000000001E-4</v>
      </c>
      <c r="I63" s="200">
        <f t="shared" si="0"/>
        <v>2.5000000000000001E-3</v>
      </c>
      <c r="J63" s="92"/>
      <c r="K63" s="92"/>
      <c r="L63" s="92"/>
      <c r="M63" s="92"/>
      <c r="N63" s="92"/>
      <c r="O63" s="56"/>
    </row>
    <row r="64" spans="1:16">
      <c r="C64" s="44"/>
    </row>
    <row r="65" spans="1:16">
      <c r="B65" s="64" t="s">
        <v>314</v>
      </c>
      <c r="D65" s="44" t="s">
        <v>99</v>
      </c>
      <c r="G65" s="200">
        <v>4.0000000000000001E-3</v>
      </c>
      <c r="H65" s="200">
        <v>0.11899999999999999</v>
      </c>
      <c r="I65" s="200">
        <v>0.52600000000000002</v>
      </c>
    </row>
    <row r="66" spans="1:16">
      <c r="B66" s="64" t="s">
        <v>315</v>
      </c>
      <c r="C66" s="91" t="s">
        <v>317</v>
      </c>
      <c r="D66" s="44" t="s">
        <v>99</v>
      </c>
      <c r="G66" s="200">
        <f t="shared" ref="G66:I66" si="1">(G65-F65)/2+F65</f>
        <v>2E-3</v>
      </c>
      <c r="H66" s="200">
        <f t="shared" si="1"/>
        <v>6.1499999999999999E-2</v>
      </c>
      <c r="I66" s="200">
        <f t="shared" si="1"/>
        <v>0.32250000000000001</v>
      </c>
    </row>
    <row r="67" spans="1:16">
      <c r="B67" s="64"/>
      <c r="C67" s="91"/>
      <c r="G67" s="200"/>
      <c r="H67" s="200"/>
      <c r="I67" s="200"/>
    </row>
    <row r="68" spans="1:16">
      <c r="C68" s="44"/>
    </row>
    <row r="69" spans="1:16" ht="15.75">
      <c r="A69" s="9" t="s">
        <v>293</v>
      </c>
      <c r="C69" s="44"/>
    </row>
    <row r="70" spans="1:16">
      <c r="B70" s="93" t="s">
        <v>279</v>
      </c>
      <c r="C70" s="94" t="s">
        <v>278</v>
      </c>
      <c r="G70" s="175">
        <v>0.15</v>
      </c>
      <c r="H70" s="175">
        <v>0.15</v>
      </c>
      <c r="I70" s="175">
        <v>0.15</v>
      </c>
      <c r="J70" s="175">
        <v>0.15</v>
      </c>
      <c r="K70" s="175">
        <v>0.15</v>
      </c>
      <c r="L70" s="175">
        <v>0.15</v>
      </c>
      <c r="M70" s="175">
        <v>0.15</v>
      </c>
      <c r="N70" s="175">
        <v>0.15</v>
      </c>
    </row>
    <row r="72" spans="1:16" s="110" customFormat="1" ht="15.75">
      <c r="A72" s="9" t="s">
        <v>343</v>
      </c>
      <c r="B72" s="112"/>
      <c r="C72" s="109"/>
      <c r="D72" s="109"/>
      <c r="E72" s="211"/>
      <c r="F72" s="212"/>
      <c r="G72" s="219"/>
      <c r="H72" s="220"/>
      <c r="I72" s="220"/>
      <c r="J72" s="220"/>
      <c r="K72" s="220"/>
      <c r="L72" s="220"/>
      <c r="M72" s="220"/>
      <c r="N72" s="220"/>
      <c r="O72" s="65"/>
      <c r="P72" s="66"/>
    </row>
    <row r="73" spans="1:16" s="110" customFormat="1">
      <c r="A73" s="44"/>
      <c r="B73" s="93" t="s">
        <v>344</v>
      </c>
      <c r="C73" s="109"/>
      <c r="D73" s="109"/>
      <c r="E73" s="211"/>
      <c r="F73" s="212"/>
      <c r="G73" s="219"/>
      <c r="H73" s="199">
        <v>4820300</v>
      </c>
      <c r="I73" s="199">
        <v>4826800</v>
      </c>
      <c r="J73" s="223"/>
      <c r="K73" s="222"/>
      <c r="L73" s="222"/>
      <c r="M73" s="222"/>
      <c r="N73" s="222"/>
      <c r="O73" s="84" t="s">
        <v>346</v>
      </c>
      <c r="P73" s="66"/>
    </row>
    <row r="74" spans="1:16" s="110" customFormat="1">
      <c r="A74" s="44"/>
      <c r="B74" s="112"/>
      <c r="C74" s="109"/>
      <c r="D74" s="109"/>
      <c r="E74" s="211"/>
      <c r="F74" s="212"/>
      <c r="G74" s="219"/>
      <c r="H74" s="220"/>
      <c r="I74" s="220"/>
      <c r="J74" s="220"/>
      <c r="K74" s="220"/>
      <c r="L74" s="220"/>
      <c r="M74" s="220"/>
      <c r="N74" s="220"/>
      <c r="O74" s="65"/>
      <c r="P74" s="66"/>
    </row>
  </sheetData>
  <hyperlinks>
    <hyperlink ref="O7" r:id="rId1" display="https://www.gov.uk/government/statistical-data-sets/live-tables-on-household-projections"/>
  </hyperlinks>
  <pageMargins left="0.70866141732283472" right="0.70866141732283472" top="0.51181102362204722" bottom="0.51181102362204722" header="0.51181102362204722" footer="0.35433070866141736"/>
  <pageSetup paperSize="9" orientation="landscape" horizontalDpi="4294967292" verticalDpi="4294967292" r:id="rId2"/>
  <headerFooter alignWithMargins="0">
    <oddFooter>&amp;L&amp;A :page&amp;P&amp;COfcom Confidential&amp;R&amp;D</oddFooter>
  </headerFooter>
</worksheet>
</file>

<file path=xl/worksheets/sheet7.xml><?xml version="1.0" encoding="utf-8"?>
<worksheet xmlns="http://schemas.openxmlformats.org/spreadsheetml/2006/main" xmlns:r="http://schemas.openxmlformats.org/officeDocument/2006/relationships">
  <sheetPr codeName="Sheet22">
    <pageSetUpPr autoPageBreaks="0" fitToPage="1"/>
  </sheetPr>
  <dimension ref="A1:Q113"/>
  <sheetViews>
    <sheetView showGridLines="0" defaultGridColor="0" colorId="22" zoomScaleNormal="100" workbookViewId="0">
      <pane xSplit="5" ySplit="2" topLeftCell="F3" activePane="bottomRight" state="frozen"/>
      <selection pane="topRight" activeCell="F1" sqref="F1"/>
      <selection pane="bottomLeft" activeCell="A4" sqref="A4"/>
      <selection pane="bottomRight" activeCell="K121" sqref="K121"/>
    </sheetView>
  </sheetViews>
  <sheetFormatPr defaultColWidth="12.7109375" defaultRowHeight="12"/>
  <cols>
    <col min="1" max="1" width="4.28515625" style="44" customWidth="1"/>
    <col min="2" max="2" width="24.85546875" style="44" customWidth="1"/>
    <col min="3" max="3" width="11.7109375" style="91" customWidth="1"/>
    <col min="4" max="4" width="7.7109375" style="44" customWidth="1"/>
    <col min="5" max="5" width="13.7109375" style="44" customWidth="1"/>
    <col min="6" max="14" width="11" style="44" customWidth="1"/>
    <col min="15" max="16384" width="12.7109375" style="44"/>
  </cols>
  <sheetData>
    <row r="1" spans="1:15" s="39" customFormat="1" ht="34.5" customHeight="1">
      <c r="A1" s="45" t="s">
        <v>299</v>
      </c>
      <c r="C1" s="91"/>
      <c r="N1" s="39" t="s">
        <v>33</v>
      </c>
    </row>
    <row r="2" spans="1:15" s="36" customFormat="1" ht="35.25" customHeight="1">
      <c r="C2" s="91"/>
      <c r="D2" s="209" t="s">
        <v>89</v>
      </c>
      <c r="E2" s="210" t="s">
        <v>208</v>
      </c>
      <c r="F2" s="209" t="s">
        <v>90</v>
      </c>
      <c r="G2" s="209" t="s">
        <v>91</v>
      </c>
      <c r="H2" s="209" t="s">
        <v>92</v>
      </c>
      <c r="I2" s="209" t="s">
        <v>93</v>
      </c>
      <c r="J2" s="209" t="s">
        <v>94</v>
      </c>
      <c r="K2" s="209" t="s">
        <v>95</v>
      </c>
      <c r="L2" s="209" t="s">
        <v>96</v>
      </c>
      <c r="M2" s="209" t="s">
        <v>97</v>
      </c>
      <c r="N2" s="209" t="s">
        <v>98</v>
      </c>
    </row>
    <row r="3" spans="1:15" ht="15.75">
      <c r="A3" s="9" t="s">
        <v>88</v>
      </c>
      <c r="K3" s="65"/>
    </row>
    <row r="5" spans="1:15">
      <c r="A5" s="64" t="s">
        <v>169</v>
      </c>
      <c r="B5" s="36"/>
      <c r="C5" s="91" t="s">
        <v>138</v>
      </c>
      <c r="D5" s="65" t="s">
        <v>99</v>
      </c>
      <c r="E5" s="91"/>
      <c r="F5" s="54">
        <f>Inputs!F4</f>
        <v>61.398000000000003</v>
      </c>
      <c r="G5" s="54">
        <f>Inputs!G4</f>
        <v>61.792000000000002</v>
      </c>
      <c r="H5" s="54">
        <f>Inputs!H4</f>
        <v>62.262</v>
      </c>
      <c r="I5" s="54">
        <f>Inputs!I4</f>
        <v>62.734999999999999</v>
      </c>
      <c r="J5" s="54">
        <f>Inputs!J4</f>
        <v>63.244</v>
      </c>
      <c r="K5" s="54">
        <f>Inputs!K4</f>
        <v>63.758000000000003</v>
      </c>
      <c r="L5" s="54">
        <f>Inputs!L4</f>
        <v>64.271000000000001</v>
      </c>
      <c r="M5" s="54">
        <f>Inputs!M4</f>
        <v>64.775999999999996</v>
      </c>
      <c r="N5" s="54">
        <f>Inputs!N4</f>
        <v>65.271000000000001</v>
      </c>
      <c r="O5" s="56" t="s">
        <v>101</v>
      </c>
    </row>
    <row r="6" spans="1:15">
      <c r="B6" s="36"/>
    </row>
    <row r="7" spans="1:15">
      <c r="A7" s="36" t="s">
        <v>234</v>
      </c>
      <c r="B7" s="36"/>
    </row>
    <row r="8" spans="1:15">
      <c r="A8" s="39"/>
      <c r="B8" s="36" t="s">
        <v>86</v>
      </c>
      <c r="D8" s="44" t="s">
        <v>112</v>
      </c>
      <c r="E8" s="90" t="str">
        <f>scen_MoHH</f>
        <v>Base</v>
      </c>
      <c r="F8" s="140">
        <f t="shared" ref="F8:N8" si="0">INDEX(F9:F10,MATCH($E$8,$B$9:$B$10,0))</f>
        <v>0.12</v>
      </c>
      <c r="G8" s="140">
        <f t="shared" si="0"/>
        <v>0.14000000000000001</v>
      </c>
      <c r="H8" s="140">
        <f t="shared" si="0"/>
        <v>0.15</v>
      </c>
      <c r="I8" s="183">
        <f t="shared" si="0"/>
        <v>0.15</v>
      </c>
      <c r="J8" s="184">
        <f t="shared" si="0"/>
        <v>0.15</v>
      </c>
      <c r="K8" s="184">
        <f t="shared" si="0"/>
        <v>0.15</v>
      </c>
      <c r="L8" s="184">
        <f t="shared" si="0"/>
        <v>0.15</v>
      </c>
      <c r="M8" s="184">
        <f t="shared" si="0"/>
        <v>0.15</v>
      </c>
      <c r="N8" s="184">
        <f t="shared" si="0"/>
        <v>0.15</v>
      </c>
    </row>
    <row r="9" spans="1:15">
      <c r="A9" s="39"/>
      <c r="B9" s="36" t="s">
        <v>230</v>
      </c>
      <c r="D9" s="44" t="s">
        <v>112</v>
      </c>
      <c r="E9" s="97"/>
      <c r="F9" s="140">
        <f>Inputs!F$17</f>
        <v>0.12</v>
      </c>
      <c r="G9" s="140">
        <f>Inputs!G$17</f>
        <v>0.14000000000000001</v>
      </c>
      <c r="H9" s="140">
        <f>Inputs!H$17</f>
        <v>0.15</v>
      </c>
      <c r="I9" s="140">
        <f>Inputs!I$17</f>
        <v>0.15</v>
      </c>
      <c r="J9" s="130">
        <f>I9</f>
        <v>0.15</v>
      </c>
      <c r="K9" s="130">
        <f t="shared" ref="K9" si="1">J9</f>
        <v>0.15</v>
      </c>
      <c r="L9" s="130">
        <f t="shared" ref="L9" si="2">K9</f>
        <v>0.15</v>
      </c>
      <c r="M9" s="130">
        <f t="shared" ref="M9" si="3">L9</f>
        <v>0.15</v>
      </c>
      <c r="N9" s="130">
        <f t="shared" ref="N9" si="4">M9</f>
        <v>0.15</v>
      </c>
      <c r="O9" s="56" t="s">
        <v>235</v>
      </c>
    </row>
    <row r="10" spans="1:15">
      <c r="A10" s="39"/>
      <c r="B10" s="36" t="s">
        <v>229</v>
      </c>
      <c r="D10" s="44" t="s">
        <v>112</v>
      </c>
      <c r="E10" s="97">
        <v>1.4</v>
      </c>
      <c r="F10" s="140">
        <f>Inputs!F$17</f>
        <v>0.12</v>
      </c>
      <c r="G10" s="140">
        <f>Inputs!G$17</f>
        <v>0.14000000000000001</v>
      </c>
      <c r="H10" s="140">
        <f>Inputs!H$17</f>
        <v>0.15</v>
      </c>
      <c r="I10" s="140">
        <f>Inputs!I$17</f>
        <v>0.15</v>
      </c>
      <c r="J10" s="157">
        <f>I10*(1+((I10/G10)^(1/2)-1)/$E10)</f>
        <v>0.15376053632287837</v>
      </c>
      <c r="K10" s="157">
        <f t="shared" ref="K10:N10" si="5">J10*(1+((J10/H10)^(1/2)-1)/$E10)</f>
        <v>0.15512873339008393</v>
      </c>
      <c r="L10" s="157">
        <f t="shared" si="5"/>
        <v>0.15700713085199994</v>
      </c>
      <c r="M10" s="157">
        <f t="shared" si="5"/>
        <v>0.1581849265536191</v>
      </c>
      <c r="N10" s="157">
        <f t="shared" si="5"/>
        <v>0.15929249924962091</v>
      </c>
      <c r="O10" s="84" t="s">
        <v>175</v>
      </c>
    </row>
    <row r="11" spans="1:15">
      <c r="A11" s="67"/>
      <c r="B11" s="36"/>
    </row>
    <row r="12" spans="1:15">
      <c r="A12" s="64" t="s">
        <v>170</v>
      </c>
      <c r="B12" s="36"/>
      <c r="D12" s="44" t="s">
        <v>99</v>
      </c>
      <c r="E12" s="90"/>
      <c r="F12" s="121"/>
      <c r="G12" s="121"/>
      <c r="H12" s="121"/>
      <c r="I12" s="54">
        <f>Inputs!I6</f>
        <v>26.521381000000002</v>
      </c>
      <c r="J12" s="54">
        <f>Inputs!J6</f>
        <v>26.794432000000004</v>
      </c>
      <c r="K12" s="54">
        <f>Inputs!K6</f>
        <v>27.065335999999999</v>
      </c>
      <c r="L12" s="54">
        <f>Inputs!L6</f>
        <v>27.337139000000001</v>
      </c>
      <c r="M12" s="54">
        <f>Inputs!M6</f>
        <v>27.608407</v>
      </c>
      <c r="N12" s="54">
        <f>Inputs!N6</f>
        <v>27.880552999999999</v>
      </c>
      <c r="O12" s="55" t="s">
        <v>100</v>
      </c>
    </row>
    <row r="13" spans="1:15" s="65" customFormat="1">
      <c r="A13" s="166"/>
      <c r="B13" s="137"/>
      <c r="F13" s="92"/>
      <c r="G13" s="92"/>
      <c r="H13" s="92"/>
      <c r="I13" s="138"/>
      <c r="J13" s="138"/>
      <c r="K13" s="138"/>
      <c r="L13" s="138"/>
      <c r="M13" s="138"/>
      <c r="N13" s="138"/>
    </row>
    <row r="14" spans="1:15" s="65" customFormat="1">
      <c r="A14" s="178" t="s">
        <v>201</v>
      </c>
      <c r="F14" s="92"/>
      <c r="G14" s="92"/>
      <c r="H14" s="92"/>
      <c r="I14" s="92"/>
      <c r="J14" s="92"/>
      <c r="K14" s="92"/>
      <c r="L14" s="92"/>
      <c r="M14" s="92"/>
      <c r="N14" s="92"/>
    </row>
    <row r="15" spans="1:15">
      <c r="A15" s="179"/>
      <c r="B15" s="36" t="s">
        <v>283</v>
      </c>
      <c r="F15" s="78"/>
      <c r="G15" s="78"/>
      <c r="H15" s="78"/>
      <c r="I15" s="80">
        <f>population/I12</f>
        <v>2.3654499741171096</v>
      </c>
      <c r="J15" s="80">
        <f t="shared" ref="J15:N15" si="6">population/J12</f>
        <v>2.3603411335608828</v>
      </c>
      <c r="K15" s="80">
        <f t="shared" si="6"/>
        <v>2.3557069455926949</v>
      </c>
      <c r="L15" s="80">
        <f t="shared" si="6"/>
        <v>2.3510507079764271</v>
      </c>
      <c r="M15" s="80">
        <f t="shared" si="6"/>
        <v>2.3462418530703344</v>
      </c>
      <c r="N15" s="80">
        <f t="shared" si="6"/>
        <v>2.3410941669629008</v>
      </c>
      <c r="O15" s="84" t="s">
        <v>308</v>
      </c>
    </row>
    <row r="16" spans="1:15">
      <c r="A16" s="39"/>
      <c r="B16" s="36" t="s">
        <v>282</v>
      </c>
      <c r="J16" s="78">
        <f>J15-I15</f>
        <v>-5.1088405562267347E-3</v>
      </c>
      <c r="K16" s="78">
        <f>K15-J15</f>
        <v>-4.6341879681879306E-3</v>
      </c>
      <c r="L16" s="78">
        <f>L15-K15</f>
        <v>-4.6562376162677666E-3</v>
      </c>
      <c r="M16" s="78">
        <f>M15-L15</f>
        <v>-4.8088549060927299E-3</v>
      </c>
      <c r="N16" s="78">
        <f>N15-M15</f>
        <v>-5.1476861074335467E-3</v>
      </c>
    </row>
    <row r="17" spans="1:15">
      <c r="A17" s="39"/>
      <c r="B17" s="36" t="s">
        <v>283</v>
      </c>
      <c r="F17" s="78">
        <f>G17-$J16</f>
        <v>2.3807764957857898</v>
      </c>
      <c r="G17" s="78">
        <f>H17-$J16</f>
        <v>2.375667655229563</v>
      </c>
      <c r="H17" s="78">
        <f>I17-$J16</f>
        <v>2.3705588146733363</v>
      </c>
      <c r="I17" s="80">
        <f>I15</f>
        <v>2.3654499741171096</v>
      </c>
      <c r="J17" s="80">
        <f t="shared" ref="J17:N17" si="7">J15</f>
        <v>2.3603411335608828</v>
      </c>
      <c r="K17" s="80">
        <f t="shared" si="7"/>
        <v>2.3557069455926949</v>
      </c>
      <c r="L17" s="80">
        <f t="shared" si="7"/>
        <v>2.3510507079764271</v>
      </c>
      <c r="M17" s="80">
        <f t="shared" si="7"/>
        <v>2.3462418530703344</v>
      </c>
      <c r="N17" s="80">
        <f t="shared" si="7"/>
        <v>2.3410941669629008</v>
      </c>
      <c r="O17" s="119" t="s">
        <v>285</v>
      </c>
    </row>
    <row r="18" spans="1:15" s="104" customFormat="1">
      <c r="A18" s="141"/>
      <c r="I18" s="124"/>
      <c r="J18" s="124"/>
      <c r="K18" s="124"/>
      <c r="L18" s="124"/>
      <c r="M18" s="124"/>
      <c r="N18" s="124"/>
    </row>
    <row r="19" spans="1:15" s="104" customFormat="1">
      <c r="A19" s="64" t="s">
        <v>170</v>
      </c>
      <c r="D19" s="44" t="s">
        <v>99</v>
      </c>
      <c r="F19" s="121">
        <f t="shared" ref="F19:N19" si="8">F5/F17</f>
        <v>25.789065083883575</v>
      </c>
      <c r="G19" s="121">
        <f t="shared" si="8"/>
        <v>26.010372226930446</v>
      </c>
      <c r="H19" s="121">
        <f t="shared" si="8"/>
        <v>26.264693208457569</v>
      </c>
      <c r="I19" s="121">
        <f t="shared" si="8"/>
        <v>26.521380999999998</v>
      </c>
      <c r="J19" s="121">
        <f t="shared" si="8"/>
        <v>26.794432000000004</v>
      </c>
      <c r="K19" s="121">
        <f t="shared" si="8"/>
        <v>27.065335999999999</v>
      </c>
      <c r="L19" s="121">
        <f t="shared" si="8"/>
        <v>27.337139000000001</v>
      </c>
      <c r="M19" s="121">
        <f t="shared" si="8"/>
        <v>27.608407000000003</v>
      </c>
      <c r="N19" s="121">
        <f t="shared" si="8"/>
        <v>27.880552999999999</v>
      </c>
    </row>
    <row r="20" spans="1:15" s="65" customFormat="1" ht="12.75">
      <c r="B20" s="137"/>
      <c r="I20" s="168"/>
      <c r="J20" s="168"/>
      <c r="K20" s="168"/>
      <c r="L20" s="168"/>
      <c r="M20" s="168"/>
      <c r="N20" s="168"/>
      <c r="O20" s="168"/>
    </row>
    <row r="21" spans="1:15" s="65" customFormat="1">
      <c r="A21" s="36" t="s">
        <v>240</v>
      </c>
      <c r="B21" s="137"/>
      <c r="C21" s="91" t="s">
        <v>141</v>
      </c>
      <c r="E21" s="90" t="str">
        <f>scen_effect_MoHH</f>
        <v>Remove Mobile Only HHs</v>
      </c>
      <c r="F21" s="82">
        <f t="shared" ref="F21:N21" si="9">INDEX(F22:F23,MATCH($E$21,$B$22:$B$23,0))</f>
        <v>22.694377273817548</v>
      </c>
      <c r="G21" s="82">
        <f t="shared" si="9"/>
        <v>22.368920115160183</v>
      </c>
      <c r="H21" s="82">
        <f t="shared" si="9"/>
        <v>22.324989227188933</v>
      </c>
      <c r="I21" s="82">
        <f t="shared" si="9"/>
        <v>22.543173849999999</v>
      </c>
      <c r="J21" s="98">
        <f t="shared" si="9"/>
        <v>22.775267200000002</v>
      </c>
      <c r="K21" s="98">
        <f t="shared" si="9"/>
        <v>23.005535599999998</v>
      </c>
      <c r="L21" s="98">
        <f t="shared" si="9"/>
        <v>23.23656815</v>
      </c>
      <c r="M21" s="98">
        <f t="shared" si="9"/>
        <v>23.467145950000003</v>
      </c>
      <c r="N21" s="98">
        <f t="shared" si="9"/>
        <v>23.698470049999997</v>
      </c>
    </row>
    <row r="22" spans="1:15">
      <c r="A22" s="36"/>
      <c r="B22" s="36" t="s">
        <v>239</v>
      </c>
      <c r="F22" s="82">
        <f t="shared" ref="F22:N22" si="10">F19*(1-F8)</f>
        <v>22.694377273817548</v>
      </c>
      <c r="G22" s="82">
        <f t="shared" si="10"/>
        <v>22.368920115160183</v>
      </c>
      <c r="H22" s="82">
        <f t="shared" si="10"/>
        <v>22.324989227188933</v>
      </c>
      <c r="I22" s="82">
        <f t="shared" si="10"/>
        <v>22.543173849999999</v>
      </c>
      <c r="J22" s="98">
        <f t="shared" si="10"/>
        <v>22.775267200000002</v>
      </c>
      <c r="K22" s="98">
        <f t="shared" si="10"/>
        <v>23.005535599999998</v>
      </c>
      <c r="L22" s="98">
        <f t="shared" si="10"/>
        <v>23.23656815</v>
      </c>
      <c r="M22" s="98">
        <f t="shared" si="10"/>
        <v>23.467145950000003</v>
      </c>
      <c r="N22" s="98">
        <f t="shared" si="10"/>
        <v>23.698470049999997</v>
      </c>
      <c r="O22" s="55"/>
    </row>
    <row r="23" spans="1:15" s="65" customFormat="1">
      <c r="B23" s="36" t="s">
        <v>241</v>
      </c>
      <c r="F23" s="82">
        <f>F19</f>
        <v>25.789065083883575</v>
      </c>
      <c r="G23" s="82">
        <f t="shared" ref="G23:I23" si="11">G19</f>
        <v>26.010372226930446</v>
      </c>
      <c r="H23" s="82">
        <f t="shared" si="11"/>
        <v>26.264693208457569</v>
      </c>
      <c r="I23" s="82">
        <f t="shared" si="11"/>
        <v>26.521380999999998</v>
      </c>
      <c r="J23" s="98">
        <f>J19</f>
        <v>26.794432000000004</v>
      </c>
      <c r="K23" s="98">
        <f t="shared" ref="K23:N23" si="12">K19</f>
        <v>27.065335999999999</v>
      </c>
      <c r="L23" s="98">
        <f t="shared" si="12"/>
        <v>27.337139000000001</v>
      </c>
      <c r="M23" s="98">
        <f t="shared" si="12"/>
        <v>27.608407000000003</v>
      </c>
      <c r="N23" s="98">
        <f t="shared" si="12"/>
        <v>27.880552999999999</v>
      </c>
    </row>
    <row r="24" spans="1:15" s="65" customFormat="1">
      <c r="F24" s="92"/>
      <c r="G24" s="92"/>
      <c r="H24" s="92"/>
      <c r="I24" s="92"/>
      <c r="J24" s="98"/>
      <c r="K24" s="98"/>
      <c r="L24" s="98"/>
      <c r="M24" s="98"/>
      <c r="N24" s="98"/>
    </row>
    <row r="25" spans="1:15">
      <c r="A25" s="64" t="s">
        <v>232</v>
      </c>
    </row>
    <row r="26" spans="1:15">
      <c r="B26" s="36" t="s">
        <v>79</v>
      </c>
      <c r="G26" s="177">
        <f>Inputs!G13</f>
        <v>100</v>
      </c>
      <c r="H26" s="177">
        <f>Inputs!H13</f>
        <v>101.8</v>
      </c>
      <c r="I26" s="177">
        <f>Inputs!I13</f>
        <v>102.7</v>
      </c>
      <c r="J26" s="177">
        <f>Inputs!J13</f>
        <v>102.9</v>
      </c>
      <c r="K26" s="177">
        <f>Inputs!K13</f>
        <v>103.6</v>
      </c>
      <c r="L26" s="177">
        <f>Inputs!L13</f>
        <v>105.4</v>
      </c>
      <c r="M26" s="177">
        <f>Inputs!M13</f>
        <v>107.8</v>
      </c>
      <c r="N26" s="177">
        <f>Inputs!N13</f>
        <v>110.7</v>
      </c>
      <c r="O26" s="56" t="s">
        <v>271</v>
      </c>
    </row>
    <row r="27" spans="1:15">
      <c r="B27" s="36" t="s">
        <v>233</v>
      </c>
      <c r="E27" s="137"/>
      <c r="H27" s="130">
        <f>H26/G26-1</f>
        <v>1.8000000000000016E-2</v>
      </c>
      <c r="I27" s="130">
        <f t="shared" ref="I27:N27" si="13">I26/H26-1</f>
        <v>8.8408644400785885E-3</v>
      </c>
      <c r="J27" s="130">
        <f t="shared" si="13"/>
        <v>1.9474196689386325E-3</v>
      </c>
      <c r="K27" s="130">
        <f t="shared" si="13"/>
        <v>6.8027210884351597E-3</v>
      </c>
      <c r="L27" s="130">
        <f t="shared" si="13"/>
        <v>1.7374517374517451E-2</v>
      </c>
      <c r="M27" s="130">
        <f t="shared" si="13"/>
        <v>2.2770398481973375E-2</v>
      </c>
      <c r="N27" s="130">
        <f t="shared" si="13"/>
        <v>2.6901669758812696E-2</v>
      </c>
    </row>
    <row r="28" spans="1:15">
      <c r="B28" s="36" t="s">
        <v>284</v>
      </c>
      <c r="E28" s="137"/>
      <c r="I28" s="139">
        <f>I27-H27</f>
        <v>-9.1591355599214275E-3</v>
      </c>
      <c r="J28" s="139">
        <f>J27-I27</f>
        <v>-6.893444771139956E-3</v>
      </c>
      <c r="K28" s="139">
        <f t="shared" ref="K28:N28" si="14">K27-J27</f>
        <v>4.8553014194965272E-3</v>
      </c>
      <c r="L28" s="139">
        <f t="shared" si="14"/>
        <v>1.0571796286082291E-2</v>
      </c>
      <c r="M28" s="139">
        <f t="shared" si="14"/>
        <v>5.3958811074559243E-3</v>
      </c>
      <c r="N28" s="139">
        <f t="shared" si="14"/>
        <v>4.1312712768393212E-3</v>
      </c>
    </row>
    <row r="29" spans="1:15">
      <c r="E29" s="137"/>
      <c r="I29" s="139"/>
      <c r="J29" s="139"/>
      <c r="K29" s="139"/>
      <c r="L29" s="139"/>
      <c r="M29" s="139"/>
      <c r="N29" s="139"/>
    </row>
    <row r="30" spans="1:15">
      <c r="A30" s="64" t="s">
        <v>172</v>
      </c>
    </row>
    <row r="31" spans="1:15">
      <c r="A31" s="39"/>
      <c r="B31" s="36" t="s">
        <v>86</v>
      </c>
      <c r="C31" s="91" t="s">
        <v>142</v>
      </c>
      <c r="D31" s="44" t="s">
        <v>99</v>
      </c>
      <c r="E31" s="90" t="str">
        <f>scen_BS</f>
        <v>Alternative</v>
      </c>
      <c r="F31" s="54">
        <f>INDEX(F32:F33,MATCH($E31,$B32:$B33,0))</f>
        <v>1.225455</v>
      </c>
      <c r="G31" s="54">
        <f t="shared" ref="G31:N31" si="15">INDEX(G32:G33,MATCH($E31,$B32:$B33,0))</f>
        <v>1.2212000000000001</v>
      </c>
      <c r="H31" s="54">
        <f t="shared" si="15"/>
        <v>1.201395</v>
      </c>
      <c r="I31" s="54">
        <f t="shared" si="15"/>
        <v>1.1724250000000001</v>
      </c>
      <c r="J31" s="98">
        <f t="shared" si="15"/>
        <v>1.1529018093964076</v>
      </c>
      <c r="K31" s="98">
        <f t="shared" si="15"/>
        <v>1.1456529890779208</v>
      </c>
      <c r="L31" s="98">
        <f t="shared" si="15"/>
        <v>1.1462880142597069</v>
      </c>
      <c r="M31" s="98">
        <f t="shared" si="15"/>
        <v>1.1445971439057494</v>
      </c>
      <c r="N31" s="98">
        <f t="shared" si="15"/>
        <v>1.1421946464841075</v>
      </c>
    </row>
    <row r="32" spans="1:15">
      <c r="A32" s="39"/>
      <c r="B32" s="36" t="s">
        <v>230</v>
      </c>
      <c r="D32" s="44" t="s">
        <v>99</v>
      </c>
      <c r="E32" s="97">
        <v>1.5</v>
      </c>
      <c r="F32" s="54">
        <f>Inputs!F9</f>
        <v>1.225455</v>
      </c>
      <c r="G32" s="54">
        <f>Inputs!G9</f>
        <v>1.2212000000000001</v>
      </c>
      <c r="H32" s="54">
        <f>Inputs!H9</f>
        <v>1.201395</v>
      </c>
      <c r="I32" s="54">
        <f>Inputs!I9</f>
        <v>1.1724250000000001</v>
      </c>
      <c r="J32" s="98">
        <f>I32*(1+((I32/F32)^(1/3)-1)/$E32)</f>
        <v>1.1609838563822112</v>
      </c>
      <c r="K32" s="98">
        <f>J32*(1+((J32/G32)^(1/3)-1)/$E32)</f>
        <v>1.1480472939765596</v>
      </c>
      <c r="L32" s="98">
        <f>K32*(1+((K32/H32)^(1/3)-1)/$E32)</f>
        <v>1.1365467241813794</v>
      </c>
      <c r="M32" s="98">
        <f>L32*(1+((L32/I32)^(1/3)-1)/$E32)</f>
        <v>1.1287375520453862</v>
      </c>
      <c r="N32" s="98">
        <f>M32*(1+((M32/J32)^(1/3)-1)/$E32)</f>
        <v>1.1217052227131614</v>
      </c>
      <c r="O32" s="84" t="s">
        <v>219</v>
      </c>
    </row>
    <row r="33" spans="1:15">
      <c r="B33" s="36" t="s">
        <v>229</v>
      </c>
      <c r="D33" s="44" t="s">
        <v>99</v>
      </c>
      <c r="E33" s="97"/>
      <c r="F33" s="54">
        <f>F32</f>
        <v>1.225455</v>
      </c>
      <c r="G33" s="54">
        <f>G32</f>
        <v>1.2212000000000001</v>
      </c>
      <c r="H33" s="54">
        <f>H32</f>
        <v>1.201395</v>
      </c>
      <c r="I33" s="54">
        <f>I32</f>
        <v>1.1724250000000001</v>
      </c>
      <c r="J33" s="98">
        <f>I33*(1+(J32/I32-1)+J28)</f>
        <v>1.1529018093964076</v>
      </c>
      <c r="K33" s="98">
        <f>J33*(1+(K32/J32-1)+K28)</f>
        <v>1.1456529890779208</v>
      </c>
      <c r="L33" s="98">
        <f>K33*(1+(L32/K32-1)+L28)</f>
        <v>1.1462880142597069</v>
      </c>
      <c r="M33" s="98">
        <f>L33*(1+(M32/L32-1)+M28)</f>
        <v>1.1445971439057494</v>
      </c>
      <c r="N33" s="98">
        <f>M33*(1+(N32/M32-1)+N28)</f>
        <v>1.1421946464841075</v>
      </c>
      <c r="O33" s="120" t="s">
        <v>307</v>
      </c>
    </row>
    <row r="34" spans="1:15" s="104" customFormat="1">
      <c r="F34" s="125"/>
      <c r="G34" s="125"/>
      <c r="H34" s="125"/>
      <c r="I34" s="125"/>
      <c r="J34" s="125"/>
      <c r="K34" s="125"/>
      <c r="L34" s="125"/>
      <c r="M34" s="125"/>
      <c r="N34" s="125"/>
    </row>
    <row r="35" spans="1:15">
      <c r="G35" s="125"/>
      <c r="H35" s="125"/>
      <c r="I35" s="125"/>
      <c r="J35" s="125"/>
      <c r="K35" s="125"/>
      <c r="L35" s="125"/>
      <c r="M35" s="125"/>
      <c r="N35" s="125"/>
    </row>
    <row r="36" spans="1:15" ht="15.75">
      <c r="A36" s="9" t="s">
        <v>81</v>
      </c>
      <c r="G36" s="125"/>
      <c r="H36" s="125"/>
      <c r="I36" s="125"/>
      <c r="J36" s="125"/>
      <c r="K36" s="125"/>
      <c r="L36" s="125"/>
      <c r="M36" s="125"/>
      <c r="N36" s="125"/>
    </row>
    <row r="37" spans="1:15">
      <c r="A37" s="118"/>
      <c r="B37" s="36" t="s">
        <v>146</v>
      </c>
      <c r="C37" s="91" t="s">
        <v>149</v>
      </c>
      <c r="D37" s="44" t="s">
        <v>99</v>
      </c>
      <c r="F37" s="54">
        <f>or_wlr_no_uplift</f>
        <v>23.556999999999999</v>
      </c>
      <c r="G37" s="54">
        <f>or_wlr_no_uplift</f>
        <v>22.199000000000002</v>
      </c>
      <c r="H37" s="54">
        <f>or_wlr_no_uplift</f>
        <v>20.692</v>
      </c>
      <c r="I37" s="54">
        <f>or_wlr_no_uplift</f>
        <v>19.399000000000001</v>
      </c>
      <c r="J37" s="92"/>
      <c r="K37" s="92"/>
      <c r="L37" s="92"/>
      <c r="M37" s="92"/>
      <c r="N37" s="92"/>
      <c r="O37" s="56" t="s">
        <v>152</v>
      </c>
    </row>
    <row r="38" spans="1:15">
      <c r="A38" s="118"/>
      <c r="B38" s="36" t="s">
        <v>147</v>
      </c>
      <c r="C38" s="91" t="s">
        <v>150</v>
      </c>
      <c r="D38" s="44" t="s">
        <v>99</v>
      </c>
      <c r="F38" s="54">
        <f>or_mpf_no_uplift</f>
        <v>1.4690000000000001</v>
      </c>
      <c r="G38" s="54">
        <f>or_mpf_no_uplift</f>
        <v>2.2229999999999999</v>
      </c>
      <c r="H38" s="54">
        <f>or_mpf_no_uplift</f>
        <v>3.7890000000000001</v>
      </c>
      <c r="I38" s="54">
        <f>or_mpf_no_uplift</f>
        <v>4.9619999999999997</v>
      </c>
      <c r="J38" s="92"/>
      <c r="K38" s="92"/>
      <c r="L38" s="92"/>
      <c r="M38" s="92"/>
      <c r="N38" s="92"/>
      <c r="O38" s="56" t="s">
        <v>152</v>
      </c>
    </row>
    <row r="39" spans="1:15">
      <c r="A39" s="118"/>
      <c r="B39" s="36" t="s">
        <v>148</v>
      </c>
      <c r="C39" s="91" t="s">
        <v>151</v>
      </c>
      <c r="D39" s="44" t="s">
        <v>99</v>
      </c>
      <c r="F39" s="54">
        <f>or_smpf_no_uplift</f>
        <v>11.645</v>
      </c>
      <c r="G39" s="54">
        <f>or_smpf_no_uplift</f>
        <v>12.089</v>
      </c>
      <c r="H39" s="54">
        <f>or_smpf_no_uplift</f>
        <v>11.218</v>
      </c>
      <c r="I39" s="54">
        <f>or_smpf_no_uplift</f>
        <v>10.843999999999999</v>
      </c>
      <c r="J39" s="92"/>
      <c r="K39" s="92"/>
      <c r="L39" s="92"/>
      <c r="M39" s="92"/>
      <c r="N39" s="92"/>
      <c r="O39" s="56" t="s">
        <v>152</v>
      </c>
    </row>
    <row r="40" spans="1:15" s="65" customFormat="1">
      <c r="F40" s="92"/>
      <c r="G40" s="92"/>
      <c r="H40" s="92"/>
      <c r="I40" s="92"/>
      <c r="J40" s="92"/>
      <c r="K40" s="92"/>
      <c r="L40" s="92"/>
      <c r="M40" s="92"/>
      <c r="N40" s="92"/>
    </row>
    <row r="41" spans="1:15" ht="12.75" customHeight="1">
      <c r="A41" s="63"/>
      <c r="B41" s="36" t="s">
        <v>214</v>
      </c>
      <c r="D41" s="44" t="s">
        <v>99</v>
      </c>
      <c r="F41" s="54">
        <f>or_wlr+or_mpf</f>
        <v>25.026</v>
      </c>
      <c r="G41" s="54">
        <f>or_wlr+or_mpf</f>
        <v>24.422000000000001</v>
      </c>
      <c r="H41" s="54">
        <f>or_wlr+or_mpf</f>
        <v>24.481000000000002</v>
      </c>
      <c r="I41" s="54">
        <f>or_wlr+or_mpf</f>
        <v>24.361000000000001</v>
      </c>
      <c r="O41" s="56" t="s">
        <v>215</v>
      </c>
    </row>
    <row r="42" spans="1:15" ht="12.75" customHeight="1">
      <c r="A42" s="63"/>
      <c r="B42" s="36" t="s">
        <v>220</v>
      </c>
      <c r="D42" s="44" t="s">
        <v>99</v>
      </c>
      <c r="F42" s="80">
        <f>or_fttp</f>
        <v>0</v>
      </c>
      <c r="G42" s="80">
        <f>or_fttp</f>
        <v>0</v>
      </c>
      <c r="H42" s="80">
        <f>or_fttp</f>
        <v>5.0000000000000001E-4</v>
      </c>
      <c r="I42" s="80">
        <f>or_fttp</f>
        <v>2.5000000000000001E-3</v>
      </c>
      <c r="O42" s="56" t="s">
        <v>222</v>
      </c>
    </row>
    <row r="43" spans="1:15" ht="12.75" customHeight="1">
      <c r="A43" s="63"/>
      <c r="B43" s="36" t="s">
        <v>226</v>
      </c>
      <c r="C43" s="91" t="s">
        <v>221</v>
      </c>
      <c r="D43" s="44" t="s">
        <v>99</v>
      </c>
      <c r="F43" s="99">
        <f>F41+F42</f>
        <v>25.026</v>
      </c>
      <c r="G43" s="99">
        <f t="shared" ref="G43:I43" si="16">G41+G42</f>
        <v>24.422000000000001</v>
      </c>
      <c r="H43" s="99">
        <f t="shared" si="16"/>
        <v>24.4815</v>
      </c>
      <c r="I43" s="99">
        <f t="shared" si="16"/>
        <v>24.363500000000002</v>
      </c>
      <c r="O43" s="56"/>
    </row>
    <row r="44" spans="1:15" ht="12.75" customHeight="1">
      <c r="A44" s="9"/>
    </row>
    <row r="45" spans="1:15" ht="12.75" customHeight="1">
      <c r="A45" s="36" t="s">
        <v>227</v>
      </c>
    </row>
    <row r="46" spans="1:15" ht="12.75" customHeight="1">
      <c r="A46" s="9"/>
      <c r="B46" s="36" t="s">
        <v>216</v>
      </c>
      <c r="D46" s="44" t="s">
        <v>99</v>
      </c>
      <c r="F46" s="54">
        <f>res_voice_lines</f>
        <v>23.503098919817791</v>
      </c>
      <c r="G46" s="54">
        <f>res_voice_lines</f>
        <v>23.375829129849141</v>
      </c>
      <c r="H46" s="54">
        <f>res_voice_lines</f>
        <v>23.602702906568378</v>
      </c>
      <c r="I46" s="54">
        <f>res_voice_lines</f>
        <v>23.849859974137932</v>
      </c>
      <c r="O46" s="56" t="s">
        <v>104</v>
      </c>
    </row>
    <row r="47" spans="1:15" ht="12.75" customHeight="1">
      <c r="A47" s="9"/>
      <c r="B47" s="36" t="s">
        <v>217</v>
      </c>
      <c r="D47" s="44" t="s">
        <v>99</v>
      </c>
      <c r="F47" s="54">
        <f>bus_voice_lines</f>
        <v>5.1311693237507443</v>
      </c>
      <c r="G47" s="54">
        <f>bus_voice_lines</f>
        <v>5.0610859823058254</v>
      </c>
      <c r="H47" s="54">
        <f>bus_voice_lines</f>
        <v>5.0088298483674585</v>
      </c>
      <c r="I47" s="54">
        <f>bus_voice_lines</f>
        <v>4.9107782764113672</v>
      </c>
      <c r="K47" s="39"/>
      <c r="O47" s="56" t="s">
        <v>104</v>
      </c>
    </row>
    <row r="48" spans="1:15" ht="12.75" customHeight="1">
      <c r="A48" s="9"/>
      <c r="B48" s="36" t="s">
        <v>218</v>
      </c>
      <c r="D48" s="44" t="s">
        <v>99</v>
      </c>
      <c r="F48" s="96">
        <f>tot_voice_lines</f>
        <v>28.634268243568535</v>
      </c>
      <c r="G48" s="96">
        <f>tot_voice_lines</f>
        <v>28.436915112154967</v>
      </c>
      <c r="H48" s="96">
        <f>tot_voice_lines</f>
        <v>28.611532754935837</v>
      </c>
      <c r="I48" s="96">
        <f>tot_voice_lines</f>
        <v>28.760638250549299</v>
      </c>
    </row>
    <row r="49" spans="1:15" ht="12.75" customHeight="1">
      <c r="A49" s="63"/>
      <c r="B49" s="36" t="s">
        <v>213</v>
      </c>
      <c r="D49" s="44" t="s">
        <v>112</v>
      </c>
      <c r="F49" s="126">
        <f>F46/F48</f>
        <v>0.82080319706080695</v>
      </c>
      <c r="G49" s="126">
        <f t="shared" ref="G49:I49" si="17">G46/G48</f>
        <v>0.82202408516025938</v>
      </c>
      <c r="H49" s="126">
        <f t="shared" si="17"/>
        <v>0.82493668230677453</v>
      </c>
      <c r="I49" s="126">
        <f t="shared" si="17"/>
        <v>0.82925350148244448</v>
      </c>
      <c r="J49" s="126"/>
      <c r="K49" s="126"/>
      <c r="L49" s="126"/>
      <c r="M49" s="126"/>
      <c r="N49" s="126"/>
    </row>
    <row r="50" spans="1:15" ht="12.75" customHeight="1">
      <c r="A50" s="9"/>
      <c r="B50" s="36"/>
      <c r="F50" s="126"/>
      <c r="G50" s="126"/>
      <c r="H50" s="126"/>
      <c r="I50" s="126"/>
      <c r="J50" s="126"/>
      <c r="K50" s="126"/>
      <c r="L50" s="126"/>
      <c r="M50" s="126"/>
      <c r="N50" s="126"/>
    </row>
    <row r="51" spans="1:15">
      <c r="B51" s="36" t="s">
        <v>242</v>
      </c>
      <c r="D51" s="44" t="s">
        <v>99</v>
      </c>
      <c r="F51" s="54">
        <f>F49*tot_lines</f>
        <v>20.541420809643753</v>
      </c>
      <c r="G51" s="54">
        <f>G49*tot_lines</f>
        <v>20.075472207783854</v>
      </c>
      <c r="H51" s="54">
        <f>H49*tot_lines</f>
        <v>20.195687387893301</v>
      </c>
      <c r="I51" s="54">
        <f>I49*tot_lines</f>
        <v>20.203517683367537</v>
      </c>
      <c r="O51" s="56"/>
    </row>
    <row r="52" spans="1:15">
      <c r="B52" s="36" t="s">
        <v>243</v>
      </c>
      <c r="D52" s="44" t="s">
        <v>99</v>
      </c>
      <c r="F52" s="54">
        <f>tot_lines-F51</f>
        <v>4.4845791903562464</v>
      </c>
      <c r="G52" s="54">
        <f>tot_lines-G51</f>
        <v>4.3465277922161469</v>
      </c>
      <c r="H52" s="54">
        <f>tot_lines-H51</f>
        <v>4.2858126121066995</v>
      </c>
      <c r="I52" s="54">
        <f>tot_lines-I51</f>
        <v>4.1599823166324654</v>
      </c>
      <c r="J52" s="65"/>
      <c r="K52" s="92"/>
      <c r="O52" s="56"/>
    </row>
    <row r="53" spans="1:15">
      <c r="B53" s="36"/>
      <c r="F53" s="95"/>
      <c r="G53" s="95"/>
      <c r="H53" s="95"/>
      <c r="I53" s="95"/>
    </row>
    <row r="54" spans="1:15">
      <c r="J54" s="78"/>
      <c r="K54" s="78"/>
      <c r="L54" s="78"/>
      <c r="M54" s="78"/>
      <c r="N54" s="78"/>
    </row>
    <row r="55" spans="1:15">
      <c r="A55" s="36" t="s">
        <v>174</v>
      </c>
      <c r="F55" s="36"/>
      <c r="G55" s="36"/>
      <c r="H55" s="36"/>
      <c r="I55" s="36"/>
      <c r="J55" s="36"/>
      <c r="K55" s="36"/>
      <c r="L55" s="36"/>
      <c r="M55" s="36"/>
      <c r="N55" s="36"/>
    </row>
    <row r="56" spans="1:15">
      <c r="B56" s="36" t="s">
        <v>86</v>
      </c>
      <c r="E56" s="90" t="str">
        <f>scen_lines_per_HH</f>
        <v>Medium</v>
      </c>
      <c r="F56" s="144">
        <f>INDEX(F57:F60,MATCH($E56,$B57:$B60,0))</f>
        <v>0.90513260451267574</v>
      </c>
      <c r="G56" s="144">
        <f t="shared" ref="G56:N56" si="18">INDEX(G57:G60,MATCH($E56,$B57:$B60,0))</f>
        <v>0.89747167518283633</v>
      </c>
      <c r="H56" s="144">
        <f t="shared" si="18"/>
        <v>0.90462249196956301</v>
      </c>
      <c r="I56" s="144">
        <f t="shared" si="18"/>
        <v>0.89621442915712324</v>
      </c>
      <c r="J56" s="98">
        <f t="shared" si="18"/>
        <v>0.89410503232989558</v>
      </c>
      <c r="K56" s="98">
        <f t="shared" si="18"/>
        <v>0.89330545699533015</v>
      </c>
      <c r="L56" s="98">
        <f t="shared" si="18"/>
        <v>0.89063346047227754</v>
      </c>
      <c r="M56" s="98">
        <f t="shared" si="18"/>
        <v>0.88931018259729011</v>
      </c>
      <c r="N56" s="98">
        <f t="shared" si="18"/>
        <v>0.88817263809394775</v>
      </c>
    </row>
    <row r="57" spans="1:15">
      <c r="B57" s="36" t="s">
        <v>85</v>
      </c>
      <c r="E57" s="97">
        <v>1.2</v>
      </c>
      <c r="F57" s="54">
        <f>F$51/households</f>
        <v>0.90513260451267574</v>
      </c>
      <c r="G57" s="54">
        <f t="shared" ref="F57:I60" si="19">G$51/households</f>
        <v>0.89747167518283633</v>
      </c>
      <c r="H57" s="54">
        <f t="shared" si="19"/>
        <v>0.90462249196956301</v>
      </c>
      <c r="I57" s="54">
        <f>I$51/households</f>
        <v>0.89621442915712324</v>
      </c>
      <c r="J57" s="98">
        <f t="shared" ref="J57:N59" si="20">I57*(1+((I57/F57)^(1/3)-1)/$E57)</f>
        <v>0.89375346619202434</v>
      </c>
      <c r="K57" s="98">
        <f t="shared" si="20"/>
        <v>0.89272348567230986</v>
      </c>
      <c r="L57" s="98">
        <f t="shared" si="20"/>
        <v>0.88944727546245816</v>
      </c>
      <c r="M57" s="98">
        <f t="shared" si="20"/>
        <v>0.8875769889859576</v>
      </c>
      <c r="N57" s="98">
        <f t="shared" si="20"/>
        <v>0.88586921747043801</v>
      </c>
      <c r="O57" s="84" t="s">
        <v>171</v>
      </c>
    </row>
    <row r="58" spans="1:15">
      <c r="B58" s="36" t="s">
        <v>84</v>
      </c>
      <c r="E58" s="97">
        <v>1.4</v>
      </c>
      <c r="F58" s="54">
        <f t="shared" si="19"/>
        <v>0.90513260451267574</v>
      </c>
      <c r="G58" s="54">
        <f t="shared" si="19"/>
        <v>0.89747167518283633</v>
      </c>
      <c r="H58" s="54">
        <f t="shared" si="19"/>
        <v>0.90462249196956301</v>
      </c>
      <c r="I58" s="54">
        <f t="shared" si="19"/>
        <v>0.89621442915712324</v>
      </c>
      <c r="J58" s="98">
        <f t="shared" si="20"/>
        <v>0.89410503232989558</v>
      </c>
      <c r="K58" s="98">
        <f t="shared" si="20"/>
        <v>0.89330545699533015</v>
      </c>
      <c r="L58" s="98">
        <f t="shared" si="20"/>
        <v>0.89063346047227754</v>
      </c>
      <c r="M58" s="98">
        <f t="shared" si="20"/>
        <v>0.88931018259729011</v>
      </c>
      <c r="N58" s="98">
        <f t="shared" si="20"/>
        <v>0.88817263809394775</v>
      </c>
      <c r="O58" s="84" t="s">
        <v>171</v>
      </c>
    </row>
    <row r="59" spans="1:15">
      <c r="B59" s="36" t="s">
        <v>83</v>
      </c>
      <c r="E59" s="97">
        <v>1.8</v>
      </c>
      <c r="F59" s="54">
        <f t="shared" si="19"/>
        <v>0.90513260451267574</v>
      </c>
      <c r="G59" s="54">
        <f t="shared" si="19"/>
        <v>0.89747167518283633</v>
      </c>
      <c r="H59" s="54">
        <f t="shared" si="19"/>
        <v>0.90462249196956301</v>
      </c>
      <c r="I59" s="54">
        <f t="shared" si="19"/>
        <v>0.89621442915712324</v>
      </c>
      <c r="J59" s="98">
        <f t="shared" si="20"/>
        <v>0.8945737871803906</v>
      </c>
      <c r="K59" s="98">
        <f t="shared" si="20"/>
        <v>0.89403829728468409</v>
      </c>
      <c r="L59" s="98">
        <f t="shared" si="20"/>
        <v>0.89209358961961105</v>
      </c>
      <c r="M59" s="98">
        <f t="shared" si="20"/>
        <v>0.8913328128197876</v>
      </c>
      <c r="N59" s="98">
        <f t="shared" si="20"/>
        <v>0.89073408315755942</v>
      </c>
      <c r="O59" s="84" t="s">
        <v>171</v>
      </c>
    </row>
    <row r="60" spans="1:15">
      <c r="B60" s="36" t="s">
        <v>82</v>
      </c>
      <c r="E60" s="128">
        <v>1</v>
      </c>
      <c r="F60" s="54">
        <f t="shared" si="19"/>
        <v>0.90513260451267574</v>
      </c>
      <c r="G60" s="54">
        <f>G$51/households</f>
        <v>0.89747167518283633</v>
      </c>
      <c r="H60" s="54">
        <f t="shared" si="19"/>
        <v>0.90462249196956301</v>
      </c>
      <c r="I60" s="54">
        <f t="shared" si="19"/>
        <v>0.89621442915712324</v>
      </c>
      <c r="J60" s="98">
        <f>I60*(1+((I60/F60)^(1/3)-1))</f>
        <v>0.89326127359900442</v>
      </c>
      <c r="K60" s="98">
        <f>J60*(1+((J60/G60)^(1/3)-1)/$E60)</f>
        <v>0.89186220047664222</v>
      </c>
      <c r="L60" s="98">
        <f>K60*(1+((K60/H60)^(1/3)-1)/$E60)</f>
        <v>0.88764889437776184</v>
      </c>
      <c r="M60" s="98">
        <f>L60*(1+((L60/I60)^(1/3)-1)/$E60)</f>
        <v>0.88481194708122457</v>
      </c>
      <c r="N60" s="98">
        <f>M60*(1+((M60/J60)^(1/3)-1)/$E60)</f>
        <v>0.882013302806121</v>
      </c>
      <c r="O60" s="84" t="s">
        <v>171</v>
      </c>
    </row>
    <row r="61" spans="1:15" s="39" customFormat="1">
      <c r="A61" s="29"/>
      <c r="B61" s="81"/>
      <c r="C61" s="91"/>
      <c r="D61" s="29"/>
      <c r="E61" s="29"/>
      <c r="F61" s="132"/>
      <c r="G61" s="82"/>
      <c r="H61" s="82"/>
      <c r="I61" s="82"/>
      <c r="J61" s="132"/>
      <c r="K61" s="132"/>
      <c r="L61" s="132"/>
      <c r="M61" s="132"/>
      <c r="N61" s="132"/>
    </row>
    <row r="62" spans="1:15">
      <c r="A62" s="36" t="s">
        <v>228</v>
      </c>
      <c r="F62" s="69"/>
      <c r="G62" s="132"/>
      <c r="H62" s="82"/>
      <c r="I62" s="82"/>
      <c r="J62" s="132"/>
      <c r="K62" s="132"/>
      <c r="L62" s="132"/>
      <c r="M62" s="132"/>
      <c r="N62" s="132"/>
    </row>
    <row r="63" spans="1:15">
      <c r="B63" s="36" t="s">
        <v>86</v>
      </c>
      <c r="E63" s="90" t="str">
        <f>scen_lines_per_B</f>
        <v>Medium</v>
      </c>
      <c r="F63" s="144">
        <f>INDEX(F64:F67,MATCH($E63,$B64:$B67,0))</f>
        <v>3.6595217207945185</v>
      </c>
      <c r="G63" s="144">
        <f t="shared" ref="G63" si="21">INDEX(G64:G67,MATCH($E63,$B64:$B67,0))</f>
        <v>3.5592268196987771</v>
      </c>
      <c r="H63" s="144">
        <f t="shared" ref="H63" si="22">INDEX(H64:H67,MATCH($E63,$B64:$B67,0))</f>
        <v>3.5673634500782003</v>
      </c>
      <c r="I63" s="144">
        <f t="shared" ref="I63" si="23">INDEX(I64:I67,MATCH($E63,$B64:$B67,0))</f>
        <v>3.5481862947586968</v>
      </c>
      <c r="J63" s="98">
        <f t="shared" ref="J63" si="24">INDEX(J64:J67,MATCH($E63,$B64:$B67,0))</f>
        <v>3.5222191945286965</v>
      </c>
      <c r="K63" s="98">
        <f t="shared" ref="K63" si="25">INDEX(K64:K67,MATCH($E63,$B64:$B67,0))</f>
        <v>3.5134690751424826</v>
      </c>
      <c r="L63" s="98">
        <f t="shared" ref="L63" si="26">INDEX(L64:L67,MATCH($E63,$B64:$B67,0))</f>
        <v>3.5007667583581497</v>
      </c>
      <c r="M63" s="98">
        <f t="shared" ref="M63" si="27">INDEX(M64:M67,MATCH($E63,$B64:$B67,0))</f>
        <v>3.489577285945785</v>
      </c>
      <c r="N63" s="98">
        <f t="shared" ref="N63" si="28">INDEX(N64:N67,MATCH($E63,$B64:$B67,0))</f>
        <v>3.4818535191255084</v>
      </c>
    </row>
    <row r="64" spans="1:15">
      <c r="B64" s="36" t="s">
        <v>85</v>
      </c>
      <c r="E64" s="97">
        <v>1.2</v>
      </c>
      <c r="F64" s="133">
        <f>F$52/business_sites</f>
        <v>3.6595217207945185</v>
      </c>
      <c r="G64" s="133">
        <f t="shared" ref="F64:I67" si="29">G$52/business_sites</f>
        <v>3.5592268196987771</v>
      </c>
      <c r="H64" s="133">
        <f t="shared" si="29"/>
        <v>3.5673634500782003</v>
      </c>
      <c r="I64" s="133">
        <f t="shared" si="29"/>
        <v>3.5481862947586968</v>
      </c>
      <c r="J64" s="98">
        <f t="shared" ref="J64:N67" si="30">I64*(1+((I64/F64)^(1/3)-1)/$E64)</f>
        <v>3.517891344490363</v>
      </c>
      <c r="K64" s="98">
        <f t="shared" si="30"/>
        <v>3.5064983975029782</v>
      </c>
      <c r="L64" s="98">
        <f t="shared" si="30"/>
        <v>3.4897844797199102</v>
      </c>
      <c r="M64" s="98">
        <f t="shared" si="30"/>
        <v>3.473740422269906</v>
      </c>
      <c r="N64" s="98">
        <f t="shared" si="30"/>
        <v>3.4615791781358078</v>
      </c>
      <c r="O64" s="84" t="s">
        <v>171</v>
      </c>
    </row>
    <row r="65" spans="1:15">
      <c r="B65" s="36" t="s">
        <v>84</v>
      </c>
      <c r="E65" s="97">
        <v>1.4</v>
      </c>
      <c r="F65" s="133">
        <f t="shared" si="29"/>
        <v>3.6595217207945185</v>
      </c>
      <c r="G65" s="133">
        <f t="shared" si="29"/>
        <v>3.5592268196987771</v>
      </c>
      <c r="H65" s="133">
        <f t="shared" si="29"/>
        <v>3.5673634500782003</v>
      </c>
      <c r="I65" s="133">
        <f>I$52/business_sites</f>
        <v>3.5481862947586968</v>
      </c>
      <c r="J65" s="98">
        <f t="shared" si="30"/>
        <v>3.5222191945286965</v>
      </c>
      <c r="K65" s="98">
        <f t="shared" si="30"/>
        <v>3.5134690751424826</v>
      </c>
      <c r="L65" s="98">
        <f t="shared" si="30"/>
        <v>3.5007667583581497</v>
      </c>
      <c r="M65" s="98">
        <f t="shared" si="30"/>
        <v>3.489577285945785</v>
      </c>
      <c r="N65" s="98">
        <f t="shared" si="30"/>
        <v>3.4818535191255084</v>
      </c>
      <c r="O65" s="84" t="s">
        <v>171</v>
      </c>
    </row>
    <row r="66" spans="1:15">
      <c r="B66" s="36" t="s">
        <v>83</v>
      </c>
      <c r="E66" s="97">
        <v>1.8</v>
      </c>
      <c r="F66" s="133">
        <f t="shared" si="29"/>
        <v>3.6595217207945185</v>
      </c>
      <c r="G66" s="133">
        <f t="shared" si="29"/>
        <v>3.5592268196987771</v>
      </c>
      <c r="H66" s="133">
        <f t="shared" si="29"/>
        <v>3.5673634500782003</v>
      </c>
      <c r="I66" s="133">
        <f t="shared" si="29"/>
        <v>3.5481862947586968</v>
      </c>
      <c r="J66" s="98">
        <f t="shared" si="30"/>
        <v>3.5279896612464743</v>
      </c>
      <c r="K66" s="98">
        <f t="shared" si="30"/>
        <v>3.5222389141366062</v>
      </c>
      <c r="L66" s="98">
        <f t="shared" si="30"/>
        <v>3.5139531859159741</v>
      </c>
      <c r="M66" s="98">
        <f t="shared" si="30"/>
        <v>3.5076545847757621</v>
      </c>
      <c r="N66" s="98">
        <f t="shared" si="30"/>
        <v>3.5039033188118309</v>
      </c>
      <c r="O66" s="84" t="s">
        <v>171</v>
      </c>
    </row>
    <row r="67" spans="1:15">
      <c r="B67" s="36" t="s">
        <v>82</v>
      </c>
      <c r="E67" s="128">
        <v>1</v>
      </c>
      <c r="F67" s="54">
        <f t="shared" si="29"/>
        <v>3.6595217207945185</v>
      </c>
      <c r="G67" s="54">
        <f t="shared" si="29"/>
        <v>3.5592268196987771</v>
      </c>
      <c r="H67" s="54">
        <f t="shared" si="29"/>
        <v>3.5673634500782003</v>
      </c>
      <c r="I67" s="54">
        <f t="shared" si="29"/>
        <v>3.5481862947586968</v>
      </c>
      <c r="J67" s="98">
        <f t="shared" si="30"/>
        <v>3.5118323544366961</v>
      </c>
      <c r="K67" s="98">
        <f t="shared" si="30"/>
        <v>3.4961748615665575</v>
      </c>
      <c r="L67" s="98">
        <f t="shared" si="30"/>
        <v>3.4727624338233545</v>
      </c>
      <c r="M67" s="98">
        <f t="shared" si="30"/>
        <v>3.4479791308040824</v>
      </c>
      <c r="N67" s="98">
        <f t="shared" si="30"/>
        <v>3.4269537731509851</v>
      </c>
      <c r="O67" s="84" t="s">
        <v>210</v>
      </c>
    </row>
    <row r="68" spans="1:15" s="65" customFormat="1">
      <c r="A68" s="44"/>
      <c r="B68" s="44"/>
      <c r="C68" s="91"/>
      <c r="D68" s="44"/>
      <c r="E68" s="44"/>
      <c r="G68" s="92"/>
      <c r="H68" s="92"/>
      <c r="I68" s="92"/>
      <c r="J68" s="85"/>
      <c r="K68" s="85"/>
      <c r="L68" s="85"/>
      <c r="M68" s="85"/>
      <c r="N68" s="85"/>
    </row>
    <row r="69" spans="1:15">
      <c r="A69" s="36" t="s">
        <v>296</v>
      </c>
      <c r="J69" s="78"/>
      <c r="K69" s="78"/>
      <c r="L69" s="78"/>
      <c r="M69" s="78"/>
      <c r="N69" s="78"/>
    </row>
    <row r="70" spans="1:15">
      <c r="B70" s="36" t="s">
        <v>102</v>
      </c>
      <c r="D70" s="44" t="s">
        <v>99</v>
      </c>
      <c r="F70" s="98">
        <f t="shared" ref="F70:N70" si="31">F56*households</f>
        <v>20.541420809643753</v>
      </c>
      <c r="G70" s="98">
        <f t="shared" si="31"/>
        <v>20.075472207783854</v>
      </c>
      <c r="H70" s="98">
        <f t="shared" si="31"/>
        <v>20.195687387893301</v>
      </c>
      <c r="I70" s="98">
        <f t="shared" si="31"/>
        <v>20.203517683367537</v>
      </c>
      <c r="J70" s="98">
        <f t="shared" si="31"/>
        <v>20.36348101617801</v>
      </c>
      <c r="K70" s="98">
        <f t="shared" si="31"/>
        <v>20.550970492580337</v>
      </c>
      <c r="L70" s="98">
        <f t="shared" si="31"/>
        <v>20.695265100934407</v>
      </c>
      <c r="M70" s="98">
        <f t="shared" si="31"/>
        <v>20.869571849831761</v>
      </c>
      <c r="N70" s="98">
        <f t="shared" si="31"/>
        <v>21.048332663098908</v>
      </c>
    </row>
    <row r="71" spans="1:15">
      <c r="B71" s="36" t="s">
        <v>103</v>
      </c>
      <c r="D71" s="44" t="s">
        <v>99</v>
      </c>
      <c r="F71" s="98">
        <f t="shared" ref="F71:N71" si="32">F63*business_sites</f>
        <v>4.4845791903562464</v>
      </c>
      <c r="G71" s="98">
        <f t="shared" si="32"/>
        <v>4.3465277922161469</v>
      </c>
      <c r="H71" s="98">
        <f t="shared" si="32"/>
        <v>4.2858126121066995</v>
      </c>
      <c r="I71" s="98">
        <f t="shared" si="32"/>
        <v>4.1599823166324654</v>
      </c>
      <c r="J71" s="98">
        <f t="shared" si="32"/>
        <v>4.0607728824628913</v>
      </c>
      <c r="K71" s="98">
        <f>K63*business_sites</f>
        <v>4.0252163479698231</v>
      </c>
      <c r="L71" s="98">
        <f t="shared" si="32"/>
        <v>4.0128869758247543</v>
      </c>
      <c r="M71" s="98">
        <f t="shared" si="32"/>
        <v>3.9941601949319221</v>
      </c>
      <c r="N71" s="98">
        <f t="shared" si="32"/>
        <v>3.9769544493870059</v>
      </c>
    </row>
    <row r="72" spans="1:15">
      <c r="B72" s="36" t="s">
        <v>113</v>
      </c>
      <c r="D72" s="44" t="s">
        <v>99</v>
      </c>
      <c r="F72" s="98">
        <f t="shared" ref="F72:M72" si="33">F70+F71</f>
        <v>25.026</v>
      </c>
      <c r="G72" s="98">
        <f t="shared" si="33"/>
        <v>24.422000000000001</v>
      </c>
      <c r="H72" s="98">
        <f t="shared" si="33"/>
        <v>24.4815</v>
      </c>
      <c r="I72" s="98">
        <f t="shared" si="33"/>
        <v>24.363500000000002</v>
      </c>
      <c r="J72" s="98">
        <f t="shared" si="33"/>
        <v>24.424253898640902</v>
      </c>
      <c r="K72" s="98">
        <f t="shared" si="33"/>
        <v>24.576186840550161</v>
      </c>
      <c r="L72" s="98">
        <f t="shared" si="33"/>
        <v>24.708152076759163</v>
      </c>
      <c r="M72" s="98">
        <f t="shared" si="33"/>
        <v>24.863732044763683</v>
      </c>
      <c r="N72" s="98">
        <f>N70+N71</f>
        <v>25.025287112485913</v>
      </c>
    </row>
    <row r="73" spans="1:15">
      <c r="B73" s="36"/>
      <c r="F73" s="96"/>
      <c r="G73" s="96"/>
      <c r="H73" s="96"/>
      <c r="I73" s="96"/>
      <c r="J73" s="98"/>
      <c r="K73" s="98"/>
      <c r="L73" s="98"/>
      <c r="M73" s="98"/>
      <c r="N73" s="98"/>
    </row>
    <row r="74" spans="1:15">
      <c r="A74" s="127"/>
      <c r="B74" s="36"/>
      <c r="G74" s="78"/>
      <c r="H74" s="78"/>
      <c r="I74" s="78"/>
      <c r="J74" s="78"/>
      <c r="K74" s="78"/>
      <c r="L74" s="78"/>
      <c r="M74" s="78"/>
      <c r="N74" s="78"/>
    </row>
    <row r="75" spans="1:15">
      <c r="A75" s="36" t="s">
        <v>209</v>
      </c>
      <c r="I75" s="134"/>
      <c r="J75" s="135"/>
      <c r="O75" s="56"/>
    </row>
    <row r="76" spans="1:15">
      <c r="B76" s="36" t="s">
        <v>86</v>
      </c>
      <c r="D76" s="44" t="s">
        <v>99</v>
      </c>
      <c r="E76" s="90" t="str">
        <f>scen_tot_bb</f>
        <v>Medium</v>
      </c>
      <c r="F76" s="136">
        <f t="shared" ref="F76:N76" si="34">INDEX(F77:F79,MATCH($E76,$B77:$B79,0))</f>
        <v>13.113999999999999</v>
      </c>
      <c r="G76" s="136">
        <f t="shared" si="34"/>
        <v>14.314000000000002</v>
      </c>
      <c r="H76" s="136">
        <f t="shared" si="34"/>
        <v>15.0685</v>
      </c>
      <c r="I76" s="136">
        <f t="shared" si="34"/>
        <v>16.128499999999999</v>
      </c>
      <c r="J76" s="98">
        <f t="shared" si="34"/>
        <v>16.951090192059258</v>
      </c>
      <c r="K76" s="98">
        <f t="shared" si="34"/>
        <v>17.653149251572074</v>
      </c>
      <c r="L76" s="98">
        <f t="shared" si="34"/>
        <v>18.336406249031693</v>
      </c>
      <c r="M76" s="98">
        <f t="shared" si="34"/>
        <v>18.908692658116582</v>
      </c>
      <c r="N76" s="98">
        <f t="shared" si="34"/>
        <v>19.409794144115729</v>
      </c>
    </row>
    <row r="77" spans="1:15">
      <c r="B77" s="36" t="s">
        <v>85</v>
      </c>
      <c r="D77" s="44" t="s">
        <v>99</v>
      </c>
      <c r="E77" s="97">
        <v>1.8</v>
      </c>
      <c r="F77" s="136">
        <f t="shared" ref="F77:I79" si="35">or_mpf+or_smpf+or_btw_fttx</f>
        <v>13.113999999999999</v>
      </c>
      <c r="G77" s="136">
        <f t="shared" si="35"/>
        <v>14.314000000000002</v>
      </c>
      <c r="H77" s="136">
        <f t="shared" si="35"/>
        <v>15.0685</v>
      </c>
      <c r="I77" s="136">
        <f t="shared" si="35"/>
        <v>16.128499999999999</v>
      </c>
      <c r="J77" s="98">
        <f t="shared" ref="J77:N79" si="36">I77*(1+((I77/F77)^(1/3)-1)/$E77)</f>
        <v>16.768292371601646</v>
      </c>
      <c r="K77" s="98">
        <f t="shared" si="36"/>
        <v>17.272893660272999</v>
      </c>
      <c r="L77" s="98">
        <f t="shared" si="36"/>
        <v>17.719706512496401</v>
      </c>
      <c r="M77" s="98">
        <f t="shared" si="36"/>
        <v>18.033346984752249</v>
      </c>
      <c r="N77" s="98">
        <f t="shared" si="36"/>
        <v>18.27920748589807</v>
      </c>
      <c r="O77" s="84" t="s">
        <v>171</v>
      </c>
    </row>
    <row r="78" spans="1:15">
      <c r="B78" s="36" t="s">
        <v>84</v>
      </c>
      <c r="D78" s="44" t="s">
        <v>99</v>
      </c>
      <c r="E78" s="97">
        <v>1.4</v>
      </c>
      <c r="F78" s="136">
        <f t="shared" si="35"/>
        <v>13.113999999999999</v>
      </c>
      <c r="G78" s="136">
        <f t="shared" si="35"/>
        <v>14.314000000000002</v>
      </c>
      <c r="H78" s="136">
        <f t="shared" si="35"/>
        <v>15.0685</v>
      </c>
      <c r="I78" s="136">
        <f t="shared" si="35"/>
        <v>16.128499999999999</v>
      </c>
      <c r="J78" s="98">
        <f t="shared" si="36"/>
        <v>16.951090192059258</v>
      </c>
      <c r="K78" s="98">
        <f t="shared" si="36"/>
        <v>17.653149251572074</v>
      </c>
      <c r="L78" s="98">
        <f t="shared" si="36"/>
        <v>18.336406249031693</v>
      </c>
      <c r="M78" s="98">
        <f t="shared" si="36"/>
        <v>18.908692658116582</v>
      </c>
      <c r="N78" s="98">
        <f t="shared" si="36"/>
        <v>19.409794144115729</v>
      </c>
      <c r="O78" s="84" t="s">
        <v>171</v>
      </c>
    </row>
    <row r="79" spans="1:15">
      <c r="B79" s="36" t="s">
        <v>83</v>
      </c>
      <c r="D79" s="44" t="s">
        <v>99</v>
      </c>
      <c r="E79" s="97">
        <v>1.2</v>
      </c>
      <c r="F79" s="136">
        <f t="shared" si="35"/>
        <v>13.113999999999999</v>
      </c>
      <c r="G79" s="136">
        <f t="shared" si="35"/>
        <v>14.314000000000002</v>
      </c>
      <c r="H79" s="136">
        <f t="shared" si="35"/>
        <v>15.0685</v>
      </c>
      <c r="I79" s="136">
        <f t="shared" si="35"/>
        <v>16.128499999999999</v>
      </c>
      <c r="J79" s="98">
        <f t="shared" si="36"/>
        <v>17.088188557402468</v>
      </c>
      <c r="K79" s="98">
        <f t="shared" si="36"/>
        <v>17.9543899032405</v>
      </c>
      <c r="L79" s="98">
        <f t="shared" si="36"/>
        <v>18.854337587036124</v>
      </c>
      <c r="M79" s="98">
        <f t="shared" si="36"/>
        <v>19.693830190844832</v>
      </c>
      <c r="N79" s="98">
        <f t="shared" si="36"/>
        <v>20.488849584197965</v>
      </c>
      <c r="O79" s="84" t="s">
        <v>171</v>
      </c>
    </row>
    <row r="80" spans="1:15">
      <c r="B80" s="36"/>
      <c r="G80" s="69"/>
      <c r="H80" s="69"/>
      <c r="I80" s="69"/>
      <c r="J80" s="69"/>
      <c r="K80" s="69"/>
      <c r="L80" s="69"/>
      <c r="M80" s="69"/>
      <c r="N80" s="69"/>
    </row>
    <row r="81" spans="1:15">
      <c r="A81" s="65"/>
      <c r="B81" s="36" t="s">
        <v>244</v>
      </c>
      <c r="D81" s="44" t="s">
        <v>99</v>
      </c>
      <c r="G81" s="201">
        <f>Inputs!G29</f>
        <v>8.1430000000000007</v>
      </c>
      <c r="H81" s="201">
        <f>Inputs!H29</f>
        <v>7.7380000000000004</v>
      </c>
      <c r="I81" s="201">
        <f>Inputs!I29</f>
        <v>7.9139999999999997</v>
      </c>
    </row>
    <row r="82" spans="1:15">
      <c r="A82" s="65"/>
      <c r="B82" s="36" t="s">
        <v>316</v>
      </c>
      <c r="D82" s="44" t="s">
        <v>99</v>
      </c>
      <c r="E82" s="142"/>
      <c r="G82" s="201">
        <f>or_btw_fttx</f>
        <v>2E-3</v>
      </c>
      <c r="H82" s="201">
        <f>or_btw_fttx</f>
        <v>6.1499999999999999E-2</v>
      </c>
      <c r="I82" s="201">
        <f>or_btw_fttx</f>
        <v>0.32250000000000001</v>
      </c>
      <c r="J82" s="69"/>
      <c r="K82" s="69"/>
      <c r="L82" s="69"/>
      <c r="M82" s="69"/>
      <c r="N82" s="69"/>
    </row>
    <row r="83" spans="1:15">
      <c r="A83" s="65"/>
      <c r="B83" s="36" t="s">
        <v>276</v>
      </c>
      <c r="D83" s="44" t="s">
        <v>99</v>
      </c>
      <c r="F83" s="79"/>
      <c r="G83" s="201">
        <f>G81+G82</f>
        <v>8.1450000000000014</v>
      </c>
      <c r="H83" s="201">
        <f>H81+H82</f>
        <v>7.7995000000000001</v>
      </c>
      <c r="I83" s="201">
        <f>I81+I82</f>
        <v>8.2364999999999995</v>
      </c>
      <c r="J83" s="207"/>
      <c r="L83" s="208"/>
    </row>
    <row r="84" spans="1:15">
      <c r="A84" s="65"/>
      <c r="B84" s="36"/>
      <c r="E84" s="65"/>
      <c r="F84" s="65"/>
      <c r="G84" s="65"/>
      <c r="H84" s="65"/>
      <c r="I84" s="206"/>
      <c r="J84" s="69"/>
      <c r="K84" s="69"/>
      <c r="L84" s="69"/>
      <c r="M84" s="69"/>
      <c r="N84" s="69"/>
    </row>
    <row r="85" spans="1:15">
      <c r="A85" s="36" t="s">
        <v>277</v>
      </c>
      <c r="E85" s="65"/>
      <c r="F85" s="65"/>
      <c r="I85" s="134"/>
      <c r="J85" s="135"/>
      <c r="O85" s="56"/>
    </row>
    <row r="86" spans="1:15">
      <c r="B86" s="36" t="s">
        <v>86</v>
      </c>
      <c r="D86" s="44" t="s">
        <v>99</v>
      </c>
      <c r="E86" s="90" t="str">
        <f>scen_tot_bt_bb</f>
        <v>Medium</v>
      </c>
      <c r="F86" s="92"/>
      <c r="G86" s="201">
        <f>INDEX(G87:G89,MATCH($E$86,$B$87:$B$89,0))</f>
        <v>8.1450000000000014</v>
      </c>
      <c r="H86" s="201">
        <f t="shared" ref="H86:N86" si="37">INDEX(H87:H89,MATCH($E$86,$B$87:$B$89,0))</f>
        <v>7.7995000000000001</v>
      </c>
      <c r="I86" s="201">
        <f t="shared" si="37"/>
        <v>8.2364999999999995</v>
      </c>
      <c r="J86" s="99">
        <f t="shared" si="37"/>
        <v>8.6565802378954082</v>
      </c>
      <c r="K86" s="99">
        <f t="shared" si="37"/>
        <v>9.0151076548081583</v>
      </c>
      <c r="L86" s="99">
        <f t="shared" si="37"/>
        <v>9.3640332374461082</v>
      </c>
      <c r="M86" s="99">
        <f t="shared" si="37"/>
        <v>9.6562883763882095</v>
      </c>
      <c r="N86" s="99">
        <f t="shared" si="37"/>
        <v>9.9121908093132785</v>
      </c>
    </row>
    <row r="87" spans="1:15">
      <c r="B87" s="36" t="s">
        <v>85</v>
      </c>
      <c r="D87" s="44" t="s">
        <v>99</v>
      </c>
      <c r="E87" s="90">
        <v>0.01</v>
      </c>
      <c r="F87" s="92"/>
      <c r="G87" s="201">
        <f>G83</f>
        <v>8.1450000000000014</v>
      </c>
      <c r="H87" s="201">
        <f>H83</f>
        <v>7.7995000000000001</v>
      </c>
      <c r="I87" s="201">
        <f>I83</f>
        <v>8.2364999999999995</v>
      </c>
      <c r="J87" s="96">
        <f>J$76*(I87/I$76+$E87)</f>
        <v>8.8260911398160005</v>
      </c>
      <c r="K87" s="96">
        <f t="shared" ref="K87:N87" si="38">K$76*(J87/J$76+$E87)</f>
        <v>9.368170639839601</v>
      </c>
      <c r="L87" s="96">
        <f t="shared" si="38"/>
        <v>9.9141254249170583</v>
      </c>
      <c r="M87" s="96">
        <f t="shared" si="38"/>
        <v>10.412636082712872</v>
      </c>
      <c r="N87" s="96">
        <f t="shared" si="38"/>
        <v>10.882680516519065</v>
      </c>
      <c r="O87" s="84" t="s">
        <v>281</v>
      </c>
    </row>
    <row r="88" spans="1:15">
      <c r="B88" s="36" t="s">
        <v>84</v>
      </c>
      <c r="D88" s="44" t="s">
        <v>99</v>
      </c>
      <c r="E88" s="90">
        <v>0</v>
      </c>
      <c r="F88" s="65"/>
      <c r="G88" s="201">
        <f>G87</f>
        <v>8.1450000000000014</v>
      </c>
      <c r="H88" s="201">
        <f>H87</f>
        <v>7.7995000000000001</v>
      </c>
      <c r="I88" s="201">
        <f>I87</f>
        <v>8.2364999999999995</v>
      </c>
      <c r="J88" s="96">
        <f>J$76*(I88/I$76+$E88)</f>
        <v>8.6565802378954082</v>
      </c>
      <c r="K88" s="96">
        <f t="shared" ref="K88:N88" si="39">K$76*(J88/J$76+$E88)</f>
        <v>9.0151076548081583</v>
      </c>
      <c r="L88" s="96">
        <f t="shared" si="39"/>
        <v>9.3640332374461082</v>
      </c>
      <c r="M88" s="96">
        <f t="shared" si="39"/>
        <v>9.6562883763882095</v>
      </c>
      <c r="N88" s="96">
        <f t="shared" si="39"/>
        <v>9.9121908093132785</v>
      </c>
      <c r="O88" s="84" t="s">
        <v>256</v>
      </c>
    </row>
    <row r="89" spans="1:15">
      <c r="B89" s="36" t="s">
        <v>83</v>
      </c>
      <c r="D89" s="44" t="s">
        <v>99</v>
      </c>
      <c r="E89" s="90">
        <v>-0.01</v>
      </c>
      <c r="F89" s="92"/>
      <c r="G89" s="201">
        <f>G87</f>
        <v>8.1450000000000014</v>
      </c>
      <c r="H89" s="201">
        <f>H87</f>
        <v>7.7995000000000001</v>
      </c>
      <c r="I89" s="201">
        <f>I87</f>
        <v>8.2364999999999995</v>
      </c>
      <c r="J89" s="96">
        <f>J$76*(I89/I$76+$E89)</f>
        <v>8.4870693359748142</v>
      </c>
      <c r="K89" s="96">
        <f>K76*(J89/J76+$E89)</f>
        <v>8.6620446697767175</v>
      </c>
      <c r="L89" s="96">
        <f>L76*(K89/K76+$E89)</f>
        <v>8.8139410499751563</v>
      </c>
      <c r="M89" s="96">
        <f>M76*(L89/L76+$E89)</f>
        <v>8.8999406700635451</v>
      </c>
      <c r="N89" s="96">
        <f>N76*(M89/M76+$E89)</f>
        <v>8.9417011021074906</v>
      </c>
      <c r="O89" s="84" t="s">
        <v>281</v>
      </c>
    </row>
    <row r="90" spans="1:15">
      <c r="B90" s="36"/>
      <c r="E90" s="90"/>
      <c r="F90" s="92"/>
      <c r="G90" s="125"/>
      <c r="H90" s="125"/>
      <c r="I90" s="125"/>
      <c r="J90" s="96"/>
      <c r="K90" s="96"/>
      <c r="L90" s="96"/>
      <c r="M90" s="96"/>
      <c r="N90" s="96"/>
      <c r="O90" s="84"/>
    </row>
    <row r="91" spans="1:15" s="155" customFormat="1" hidden="1">
      <c r="A91" s="67"/>
      <c r="E91" s="90"/>
      <c r="F91" s="92"/>
      <c r="G91" s="156">
        <v>1</v>
      </c>
      <c r="H91" s="156">
        <v>2</v>
      </c>
      <c r="I91" s="156">
        <v>3</v>
      </c>
      <c r="J91" s="96">
        <v>4</v>
      </c>
      <c r="K91" s="96">
        <v>5</v>
      </c>
      <c r="L91" s="96">
        <v>6</v>
      </c>
      <c r="M91" s="96">
        <v>7</v>
      </c>
      <c r="N91" s="96">
        <v>8</v>
      </c>
    </row>
    <row r="92" spans="1:15">
      <c r="A92" s="36" t="s">
        <v>245</v>
      </c>
      <c r="D92" s="44" t="s">
        <v>99</v>
      </c>
      <c r="E92" s="90"/>
      <c r="F92" s="92"/>
      <c r="G92" s="65"/>
      <c r="H92" s="65"/>
      <c r="I92" s="65"/>
      <c r="J92" s="96"/>
      <c r="K92" s="96"/>
      <c r="L92" s="96"/>
      <c r="M92" s="96"/>
      <c r="N92" s="96"/>
      <c r="O92" s="84"/>
    </row>
    <row r="93" spans="1:15">
      <c r="B93" s="36" t="s">
        <v>86</v>
      </c>
      <c r="D93" s="44" t="s">
        <v>99</v>
      </c>
      <c r="E93" s="90" t="str">
        <f>scen_smpf_mig</f>
        <v>Medium</v>
      </c>
      <c r="F93" s="92"/>
      <c r="G93" s="54">
        <f t="shared" ref="G93:N93" si="40">INDEX(G94:G96,MATCH($E$93,$B$94:$B$96,0))</f>
        <v>3.9459999999999997</v>
      </c>
      <c r="H93" s="54">
        <f t="shared" si="40"/>
        <v>3.4799999999999995</v>
      </c>
      <c r="I93" s="54">
        <f t="shared" si="40"/>
        <v>2.9299999999999997</v>
      </c>
      <c r="J93" s="99">
        <f t="shared" si="40"/>
        <v>2.4359999999999999</v>
      </c>
      <c r="K93" s="99">
        <f t="shared" si="40"/>
        <v>1.9279999999999999</v>
      </c>
      <c r="L93" s="99">
        <f t="shared" si="40"/>
        <v>1.42</v>
      </c>
      <c r="M93" s="99">
        <f t="shared" si="40"/>
        <v>0.91199999999999992</v>
      </c>
      <c r="N93" s="99">
        <f t="shared" si="40"/>
        <v>0.40399999999999991</v>
      </c>
    </row>
    <row r="94" spans="1:15">
      <c r="B94" s="36" t="s">
        <v>85</v>
      </c>
      <c r="D94" s="44" t="s">
        <v>99</v>
      </c>
      <c r="E94" s="181">
        <v>1</v>
      </c>
      <c r="F94" s="92"/>
      <c r="G94" s="143">
        <f>or_smpf-G$81</f>
        <v>3.9459999999999997</v>
      </c>
      <c r="H94" s="143">
        <f>or_smpf-H$81</f>
        <v>3.4799999999999995</v>
      </c>
      <c r="I94" s="143">
        <f t="shared" ref="G94:I96" si="41">or_smpf-I$81</f>
        <v>2.9299999999999997</v>
      </c>
      <c r="J94" s="98">
        <f>I94*(1+((I94/G94)^(1/2)-1)/$E94)</f>
        <v>2.5247762141576584</v>
      </c>
      <c r="K94" s="98">
        <f t="shared" ref="K94:N94" si="42">J94*(1+((J94/H94)^(1/2)-1)/$E94)</f>
        <v>2.1505260770781649</v>
      </c>
      <c r="L94" s="98">
        <f t="shared" si="42"/>
        <v>1.8423971770652823</v>
      </c>
      <c r="M94" s="98">
        <f t="shared" si="42"/>
        <v>1.5738503836318281</v>
      </c>
      <c r="N94" s="98">
        <f t="shared" si="42"/>
        <v>1.3463959909691701</v>
      </c>
      <c r="O94" s="84" t="s">
        <v>175</v>
      </c>
    </row>
    <row r="95" spans="1:15">
      <c r="B95" s="36" t="s">
        <v>84</v>
      </c>
      <c r="D95" s="44" t="s">
        <v>99</v>
      </c>
      <c r="E95" s="90" t="s">
        <v>257</v>
      </c>
      <c r="F95" s="92"/>
      <c r="G95" s="143">
        <f>or_smpf-G$81</f>
        <v>3.9459999999999997</v>
      </c>
      <c r="H95" s="143">
        <f t="shared" si="41"/>
        <v>3.4799999999999995</v>
      </c>
      <c r="I95" s="143">
        <f t="shared" si="41"/>
        <v>2.9299999999999997</v>
      </c>
      <c r="J95" s="98">
        <f>FORECAST(J91,$G95:$I95,$G91:$I91)</f>
        <v>2.4359999999999999</v>
      </c>
      <c r="K95" s="98">
        <f>FORECAST(K91,$G95:$I95,$G91:$I91)</f>
        <v>1.9279999999999999</v>
      </c>
      <c r="L95" s="98">
        <f>FORECAST(L91,$G95:$I95,$G91:$I91)</f>
        <v>1.42</v>
      </c>
      <c r="M95" s="98">
        <f>FORECAST(M91,$G95:$I95,$G91:$I91)</f>
        <v>0.91199999999999992</v>
      </c>
      <c r="N95" s="98">
        <f>FORECAST(N91,$G95:$I95,$G91:$I91)</f>
        <v>0.40399999999999991</v>
      </c>
      <c r="O95" s="84" t="s">
        <v>260</v>
      </c>
    </row>
    <row r="96" spans="1:15">
      <c r="B96" s="36" t="s">
        <v>83</v>
      </c>
      <c r="D96" s="44" t="s">
        <v>99</v>
      </c>
      <c r="E96" s="181">
        <v>0.6</v>
      </c>
      <c r="F96" s="65"/>
      <c r="G96" s="143">
        <f t="shared" si="41"/>
        <v>3.9459999999999997</v>
      </c>
      <c r="H96" s="143">
        <f t="shared" si="41"/>
        <v>3.4799999999999995</v>
      </c>
      <c r="I96" s="143">
        <f t="shared" si="41"/>
        <v>2.9299999999999997</v>
      </c>
      <c r="J96" s="98">
        <f>I96*(1+((I96/G96)^(1/2)-1)/$E96)</f>
        <v>2.2546270235960972</v>
      </c>
      <c r="K96" s="98">
        <f t="shared" ref="K96" si="43">J96*(1+((J96/H96)^(1/2)-1)/$E96)</f>
        <v>1.5215378958622281</v>
      </c>
      <c r="L96" s="98">
        <f t="shared" ref="L96" si="44">K96*(1+((K96/I96)^(1/2)-1)/$E96)</f>
        <v>0.81306445756486001</v>
      </c>
      <c r="M96" s="98">
        <f t="shared" ref="M96" si="45">L96*(1+((L96/J96)^(1/2)-1)/$E96)</f>
        <v>0.27172175403246079</v>
      </c>
      <c r="N96" s="98">
        <f t="shared" ref="N96" si="46">M96*(1+((M96/K96)^(1/2)-1)/$E96)</f>
        <v>1.0231030024817782E-2</v>
      </c>
      <c r="O96" s="84" t="s">
        <v>175</v>
      </c>
    </row>
    <row r="97" spans="1:17">
      <c r="E97" s="180"/>
      <c r="F97" s="65"/>
    </row>
    <row r="98" spans="1:17" s="65" customFormat="1">
      <c r="A98" s="44"/>
      <c r="F98" s="92"/>
      <c r="G98" s="92"/>
      <c r="H98" s="92"/>
      <c r="I98" s="92"/>
    </row>
    <row r="99" spans="1:17">
      <c r="A99" s="36" t="s">
        <v>258</v>
      </c>
      <c r="B99" s="36"/>
      <c r="D99" s="44" t="s">
        <v>99</v>
      </c>
      <c r="E99" s="65"/>
      <c r="F99" s="92"/>
      <c r="G99" s="98">
        <f t="shared" ref="G99:N99" si="47">G76-G86-G93</f>
        <v>2.2230000000000008</v>
      </c>
      <c r="H99" s="98">
        <f t="shared" si="47"/>
        <v>3.7890000000000006</v>
      </c>
      <c r="I99" s="98">
        <f t="shared" si="47"/>
        <v>4.9619999999999997</v>
      </c>
      <c r="J99" s="98">
        <f t="shared" si="47"/>
        <v>5.8585099541638499</v>
      </c>
      <c r="K99" s="98">
        <f t="shared" si="47"/>
        <v>6.710041596763916</v>
      </c>
      <c r="L99" s="98">
        <f t="shared" si="47"/>
        <v>7.5523730115855852</v>
      </c>
      <c r="M99" s="98">
        <f t="shared" si="47"/>
        <v>8.3404042817283717</v>
      </c>
      <c r="N99" s="98">
        <f t="shared" si="47"/>
        <v>9.0936033348024505</v>
      </c>
      <c r="O99" s="84"/>
    </row>
    <row r="100" spans="1:17">
      <c r="A100" s="118"/>
      <c r="B100" s="36"/>
      <c r="E100" s="65"/>
      <c r="F100" s="65"/>
      <c r="J100" s="69"/>
      <c r="K100" s="69"/>
      <c r="L100" s="69"/>
      <c r="M100" s="69"/>
      <c r="N100" s="69"/>
    </row>
    <row r="101" spans="1:17">
      <c r="A101" s="36" t="s">
        <v>294</v>
      </c>
      <c r="E101" s="65"/>
      <c r="F101" s="65"/>
      <c r="J101" s="69"/>
      <c r="K101" s="69"/>
      <c r="L101" s="69"/>
      <c r="M101" s="69"/>
      <c r="N101" s="69"/>
    </row>
    <row r="102" spans="1:17">
      <c r="A102" s="65"/>
      <c r="B102" s="64" t="s">
        <v>223</v>
      </c>
      <c r="D102" s="44" t="s">
        <v>99</v>
      </c>
      <c r="G102" s="54">
        <f t="shared" ref="G102:N102" si="48">G72</f>
        <v>24.422000000000001</v>
      </c>
      <c r="H102" s="54">
        <f t="shared" si="48"/>
        <v>24.4815</v>
      </c>
      <c r="I102" s="54">
        <f t="shared" si="48"/>
        <v>24.363500000000002</v>
      </c>
      <c r="J102" s="96">
        <f>J72</f>
        <v>24.424253898640902</v>
      </c>
      <c r="K102" s="96">
        <f>K72</f>
        <v>24.576186840550161</v>
      </c>
      <c r="L102" s="96">
        <f t="shared" si="48"/>
        <v>24.708152076759163</v>
      </c>
      <c r="M102" s="96">
        <f t="shared" si="48"/>
        <v>24.863732044763683</v>
      </c>
      <c r="N102" s="96">
        <f t="shared" si="48"/>
        <v>25.025287112485913</v>
      </c>
    </row>
    <row r="103" spans="1:17">
      <c r="B103" s="64" t="s">
        <v>165</v>
      </c>
      <c r="C103" s="91" t="s">
        <v>173</v>
      </c>
      <c r="D103" s="44" t="s">
        <v>99</v>
      </c>
      <c r="E103" s="39"/>
      <c r="F103" s="39"/>
      <c r="G103" s="54">
        <f>G76</f>
        <v>14.314000000000002</v>
      </c>
      <c r="H103" s="54">
        <f t="shared" ref="H103:N103" si="49">H76</f>
        <v>15.0685</v>
      </c>
      <c r="I103" s="54">
        <f t="shared" si="49"/>
        <v>16.128499999999999</v>
      </c>
      <c r="J103" s="121">
        <f>J76</f>
        <v>16.951090192059258</v>
      </c>
      <c r="K103" s="121">
        <f t="shared" si="49"/>
        <v>17.653149251572074</v>
      </c>
      <c r="L103" s="121">
        <f t="shared" si="49"/>
        <v>18.336406249031693</v>
      </c>
      <c r="M103" s="121">
        <f t="shared" si="49"/>
        <v>18.908692658116582</v>
      </c>
      <c r="N103" s="121">
        <f t="shared" si="49"/>
        <v>19.409794144115729</v>
      </c>
      <c r="O103" s="56"/>
    </row>
    <row r="104" spans="1:17">
      <c r="B104" s="64"/>
      <c r="E104" s="39"/>
      <c r="F104" s="65"/>
      <c r="G104" s="92"/>
      <c r="H104" s="92"/>
      <c r="I104" s="92"/>
      <c r="J104" s="92"/>
      <c r="K104" s="92"/>
      <c r="L104" s="92"/>
      <c r="M104" s="92"/>
      <c r="N104" s="92"/>
      <c r="O104" s="65"/>
    </row>
    <row r="105" spans="1:17">
      <c r="A105" s="36" t="s">
        <v>295</v>
      </c>
      <c r="B105" s="64"/>
      <c r="G105" s="96"/>
      <c r="H105" s="96"/>
      <c r="I105" s="96"/>
      <c r="J105" s="96"/>
      <c r="K105" s="96"/>
      <c r="L105" s="96"/>
      <c r="M105" s="96"/>
      <c r="N105" s="96"/>
    </row>
    <row r="106" spans="1:17">
      <c r="B106" s="36" t="s">
        <v>159</v>
      </c>
      <c r="C106" s="91" t="s">
        <v>162</v>
      </c>
      <c r="D106" s="44" t="s">
        <v>99</v>
      </c>
      <c r="G106" s="100">
        <f>G99</f>
        <v>2.2230000000000008</v>
      </c>
      <c r="H106" s="100">
        <f t="shared" ref="H106:N106" si="50">H99</f>
        <v>3.7890000000000006</v>
      </c>
      <c r="I106" s="100">
        <f t="shared" si="50"/>
        <v>4.9619999999999997</v>
      </c>
      <c r="J106" s="100">
        <f t="shared" si="50"/>
        <v>5.8585099541638499</v>
      </c>
      <c r="K106" s="100">
        <f t="shared" si="50"/>
        <v>6.710041596763916</v>
      </c>
      <c r="L106" s="100">
        <f t="shared" si="50"/>
        <v>7.5523730115855852</v>
      </c>
      <c r="M106" s="100">
        <f t="shared" si="50"/>
        <v>8.3404042817283717</v>
      </c>
      <c r="N106" s="100">
        <f t="shared" si="50"/>
        <v>9.0936033348024505</v>
      </c>
      <c r="O106" s="65"/>
      <c r="P106" s="65"/>
      <c r="Q106" s="65"/>
    </row>
    <row r="107" spans="1:17">
      <c r="B107" s="36" t="s">
        <v>160</v>
      </c>
      <c r="C107" s="91" t="s">
        <v>161</v>
      </c>
      <c r="D107" s="44" t="s">
        <v>99</v>
      </c>
      <c r="G107" s="100">
        <f t="shared" ref="G107:N107" si="51">G102-G106</f>
        <v>22.198999999999998</v>
      </c>
      <c r="H107" s="100">
        <f t="shared" si="51"/>
        <v>20.692499999999999</v>
      </c>
      <c r="I107" s="100">
        <f t="shared" si="51"/>
        <v>19.401500000000002</v>
      </c>
      <c r="J107" s="100">
        <f t="shared" si="51"/>
        <v>18.565743944477052</v>
      </c>
      <c r="K107" s="100">
        <f t="shared" si="51"/>
        <v>17.866145243786246</v>
      </c>
      <c r="L107" s="100">
        <f>L102-L106</f>
        <v>17.155779065173576</v>
      </c>
      <c r="M107" s="100">
        <f t="shared" si="51"/>
        <v>16.523327763035311</v>
      </c>
      <c r="N107" s="100">
        <f t="shared" si="51"/>
        <v>15.931683777683462</v>
      </c>
      <c r="O107" s="65"/>
      <c r="P107" s="65"/>
      <c r="Q107" s="65"/>
    </row>
    <row r="108" spans="1:17">
      <c r="A108" s="39"/>
      <c r="B108" s="64" t="s">
        <v>164</v>
      </c>
      <c r="C108" s="91" t="s">
        <v>166</v>
      </c>
      <c r="D108" s="44" t="s">
        <v>99</v>
      </c>
      <c r="G108" s="100">
        <f t="shared" ref="G108:N108" si="52">G103-G106</f>
        <v>12.091000000000001</v>
      </c>
      <c r="H108" s="100">
        <f t="shared" si="52"/>
        <v>11.279499999999999</v>
      </c>
      <c r="I108" s="100">
        <f t="shared" si="52"/>
        <v>11.166499999999999</v>
      </c>
      <c r="J108" s="100">
        <f t="shared" si="52"/>
        <v>11.092580237895408</v>
      </c>
      <c r="K108" s="100">
        <f t="shared" si="52"/>
        <v>10.943107654808159</v>
      </c>
      <c r="L108" s="100">
        <f t="shared" si="52"/>
        <v>10.784033237446108</v>
      </c>
      <c r="M108" s="100">
        <f t="shared" si="52"/>
        <v>10.56828837638821</v>
      </c>
      <c r="N108" s="100">
        <f t="shared" si="52"/>
        <v>10.316190809313278</v>
      </c>
      <c r="O108" s="65"/>
      <c r="P108" s="65"/>
      <c r="Q108" s="65"/>
    </row>
    <row r="109" spans="1:17" s="65" customFormat="1"/>
    <row r="110" spans="1:17">
      <c r="G110" s="117"/>
      <c r="H110" s="117"/>
      <c r="I110" s="117"/>
      <c r="J110" s="117"/>
      <c r="K110" s="117"/>
      <c r="L110" s="117"/>
      <c r="M110" s="117"/>
      <c r="N110" s="117"/>
    </row>
    <row r="111" spans="1:17">
      <c r="G111" s="233"/>
      <c r="H111" s="233"/>
      <c r="I111" s="233"/>
      <c r="J111" s="233"/>
      <c r="K111" s="233"/>
      <c r="L111" s="233"/>
      <c r="M111" s="233"/>
      <c r="N111" s="233"/>
    </row>
    <row r="112" spans="1:17">
      <c r="G112" s="117"/>
      <c r="H112" s="117"/>
      <c r="I112" s="117"/>
      <c r="J112" s="117"/>
      <c r="K112" s="117"/>
      <c r="L112" s="117"/>
      <c r="M112" s="117"/>
      <c r="N112" s="117"/>
    </row>
    <row r="113" spans="7:9">
      <c r="G113" s="129"/>
      <c r="H113" s="129"/>
      <c r="I113" s="129"/>
    </row>
  </sheetData>
  <pageMargins left="0.70866141732283472" right="0.70866141732283472" top="0.51181102362204722" bottom="0.51181102362204722" header="0.51181102362204722" footer="0.35433070866141736"/>
  <pageSetup paperSize="8" scale="48" orientation="portrait" verticalDpi="4294967292" r:id="rId1"/>
  <headerFooter alignWithMargins="0">
    <oddFooter>&amp;L&amp;A :page&amp;P&amp;COfcom Confidential&amp;R&amp;D</oddFooter>
  </headerFooter>
</worksheet>
</file>

<file path=xl/worksheets/sheet8.xml><?xml version="1.0" encoding="utf-8"?>
<worksheet xmlns="http://schemas.openxmlformats.org/spreadsheetml/2006/main" xmlns:r="http://schemas.openxmlformats.org/officeDocument/2006/relationships">
  <sheetPr codeName="Sheet24">
    <pageSetUpPr autoPageBreaks="0" fitToPage="1"/>
  </sheetPr>
  <dimension ref="A1:P174"/>
  <sheetViews>
    <sheetView showGridLines="0" defaultGridColor="0" colorId="22" zoomScaleNormal="100" workbookViewId="0">
      <pane xSplit="5" ySplit="2" topLeftCell="F119" activePane="bottomRight" state="frozen"/>
      <selection pane="topRight" activeCell="F1" sqref="F1"/>
      <selection pane="bottomLeft" activeCell="A4" sqref="A4"/>
      <selection pane="bottomRight" activeCell="L127" sqref="L127"/>
    </sheetView>
  </sheetViews>
  <sheetFormatPr defaultColWidth="12.7109375" defaultRowHeight="12"/>
  <cols>
    <col min="1" max="1" width="3.5703125" style="73" customWidth="1"/>
    <col min="2" max="2" width="30.7109375" style="73" customWidth="1"/>
    <col min="3" max="3" width="7.42578125" style="91" customWidth="1"/>
    <col min="4" max="4" width="2.140625" style="73" customWidth="1"/>
    <col min="5" max="5" width="10" style="73" customWidth="1"/>
    <col min="6" max="6" width="2.7109375" style="73" customWidth="1"/>
    <col min="7" max="7" width="11.5703125" style="73" bestFit="1" customWidth="1"/>
    <col min="8" max="9" width="13" style="73" customWidth="1"/>
    <col min="10" max="10" width="11.5703125" style="73" bestFit="1" customWidth="1"/>
    <col min="11" max="14" width="12.85546875" style="73" customWidth="1"/>
    <col min="15" max="15" width="13.5703125" style="73" bestFit="1" customWidth="1"/>
    <col min="16" max="16384" width="12.7109375" style="73"/>
  </cols>
  <sheetData>
    <row r="1" spans="1:16" s="58" customFormat="1" ht="33.75" customHeight="1">
      <c r="A1" s="111" t="s">
        <v>297</v>
      </c>
      <c r="C1" s="91"/>
    </row>
    <row r="2" spans="1:16" s="110" customFormat="1" ht="33" customHeight="1">
      <c r="A2" s="109"/>
      <c r="B2" s="109"/>
      <c r="C2" s="109"/>
      <c r="D2" s="109"/>
      <c r="E2" s="211" t="s">
        <v>253</v>
      </c>
      <c r="F2" s="212"/>
      <c r="G2" s="212" t="s">
        <v>91</v>
      </c>
      <c r="H2" s="212" t="s">
        <v>92</v>
      </c>
      <c r="I2" s="212" t="s">
        <v>93</v>
      </c>
      <c r="J2" s="212" t="s">
        <v>94</v>
      </c>
      <c r="K2" s="212" t="s">
        <v>95</v>
      </c>
      <c r="L2" s="212" t="s">
        <v>96</v>
      </c>
      <c r="M2" s="212" t="s">
        <v>97</v>
      </c>
      <c r="N2" s="212" t="s">
        <v>98</v>
      </c>
      <c r="O2" s="65"/>
      <c r="P2" s="66"/>
    </row>
    <row r="3" spans="1:16" s="110" customFormat="1">
      <c r="A3" s="224" t="s">
        <v>347</v>
      </c>
      <c r="B3" s="65"/>
      <c r="C3" s="109"/>
      <c r="D3" s="109"/>
      <c r="E3" s="211"/>
      <c r="F3" s="212"/>
      <c r="G3" s="218">
        <f t="shared" ref="G3:N3" si="0">households*1000000</f>
        <v>22368920.115160182</v>
      </c>
      <c r="H3" s="218">
        <f t="shared" si="0"/>
        <v>22324989.227188934</v>
      </c>
      <c r="I3" s="218">
        <f t="shared" si="0"/>
        <v>22543173.849999998</v>
      </c>
      <c r="J3" s="218">
        <f t="shared" si="0"/>
        <v>22775267.200000003</v>
      </c>
      <c r="K3" s="218">
        <f t="shared" si="0"/>
        <v>23005535.599999998</v>
      </c>
      <c r="L3" s="218">
        <f t="shared" si="0"/>
        <v>23236568.149999999</v>
      </c>
      <c r="M3" s="218">
        <f t="shared" si="0"/>
        <v>23467145.950000003</v>
      </c>
      <c r="N3" s="218">
        <f t="shared" si="0"/>
        <v>23698470.049999997</v>
      </c>
      <c r="O3" s="65"/>
      <c r="P3" s="66"/>
    </row>
    <row r="4" spans="1:16" s="110" customFormat="1">
      <c r="A4" s="224"/>
      <c r="B4" s="112" t="s">
        <v>342</v>
      </c>
      <c r="C4" s="109"/>
      <c r="D4" s="109"/>
      <c r="E4" s="211"/>
      <c r="F4" s="212"/>
      <c r="G4" s="219"/>
      <c r="H4" s="220">
        <f t="shared" ref="H4:N4" si="1">H3-G3</f>
        <v>-43930.887971248478</v>
      </c>
      <c r="I4" s="220">
        <f t="shared" si="1"/>
        <v>218184.62281106412</v>
      </c>
      <c r="J4" s="220">
        <f t="shared" si="1"/>
        <v>232093.35000000522</v>
      </c>
      <c r="K4" s="220">
        <f t="shared" si="1"/>
        <v>230268.39999999478</v>
      </c>
      <c r="L4" s="220">
        <f t="shared" si="1"/>
        <v>231032.55000000075</v>
      </c>
      <c r="M4" s="220">
        <f t="shared" si="1"/>
        <v>230577.80000000447</v>
      </c>
      <c r="N4" s="220">
        <f t="shared" si="1"/>
        <v>231324.09999999404</v>
      </c>
      <c r="O4" s="65"/>
      <c r="P4" s="66"/>
    </row>
    <row r="5" spans="1:16" s="110" customFormat="1">
      <c r="A5" s="224"/>
      <c r="B5" s="112"/>
      <c r="C5" s="109"/>
      <c r="D5" s="109"/>
      <c r="E5" s="211"/>
      <c r="F5" s="212"/>
      <c r="G5" s="219"/>
      <c r="H5" s="220"/>
      <c r="I5" s="220"/>
      <c r="J5" s="220"/>
      <c r="K5" s="221"/>
      <c r="L5" s="220"/>
      <c r="M5" s="220"/>
      <c r="N5" s="220"/>
      <c r="O5" s="65"/>
      <c r="P5" s="66"/>
    </row>
    <row r="6" spans="1:16" s="110" customFormat="1">
      <c r="A6" s="224" t="s">
        <v>343</v>
      </c>
      <c r="B6" s="112"/>
      <c r="C6" s="109"/>
      <c r="D6" s="109"/>
      <c r="E6" s="211"/>
      <c r="F6" s="212"/>
      <c r="G6" s="219"/>
      <c r="H6" s="220"/>
      <c r="I6" s="220"/>
      <c r="J6" s="220"/>
      <c r="K6" s="220"/>
      <c r="L6" s="220"/>
      <c r="M6" s="220"/>
      <c r="N6" s="220"/>
      <c r="O6" s="65"/>
      <c r="P6" s="66"/>
    </row>
    <row r="7" spans="1:16" s="110" customFormat="1">
      <c r="A7" s="109"/>
      <c r="B7" s="112" t="s">
        <v>344</v>
      </c>
      <c r="C7" s="109"/>
      <c r="D7" s="109"/>
      <c r="E7" s="211"/>
      <c r="F7" s="212"/>
      <c r="G7" s="219"/>
      <c r="H7" s="222">
        <f>Inputs!H73</f>
        <v>4820300</v>
      </c>
      <c r="I7" s="222">
        <f>Inputs!I73</f>
        <v>4826800</v>
      </c>
      <c r="J7" s="222">
        <f>(1+((J3-I3)/2)/I3)*I7</f>
        <v>4851647.1707940102</v>
      </c>
      <c r="K7" s="222">
        <f>(1+((K3-J3)/2)/J3)*J7</f>
        <v>4876173.3601373173</v>
      </c>
      <c r="L7" s="222">
        <f>(1+((L3-K3)/2)/K3)*K7</f>
        <v>4900657.788259794</v>
      </c>
      <c r="M7" s="222">
        <f>(1+((M3-L3)/2)/L3)*L7</f>
        <v>4924972.5425745314</v>
      </c>
      <c r="N7" s="222">
        <f>(1+((N3-M3)/2)/M3)*M7</f>
        <v>4949246.1556368759</v>
      </c>
      <c r="O7" s="84" t="s">
        <v>345</v>
      </c>
      <c r="P7" s="66"/>
    </row>
    <row r="8" spans="1:16" s="110" customFormat="1">
      <c r="A8" s="109"/>
      <c r="B8" s="112"/>
      <c r="C8" s="109"/>
      <c r="D8" s="109"/>
      <c r="E8" s="211"/>
      <c r="F8" s="212"/>
      <c r="G8" s="219"/>
      <c r="H8" s="220"/>
      <c r="I8" s="220"/>
      <c r="J8" s="220"/>
      <c r="K8" s="220"/>
      <c r="L8" s="220"/>
      <c r="M8" s="220"/>
      <c r="N8" s="220"/>
      <c r="O8" s="65"/>
      <c r="P8" s="66"/>
    </row>
    <row r="9" spans="1:16" s="110" customFormat="1">
      <c r="A9" s="109"/>
      <c r="B9" s="109"/>
      <c r="C9" s="109"/>
      <c r="D9" s="109"/>
      <c r="E9" s="211"/>
      <c r="F9" s="212"/>
      <c r="G9" s="212"/>
      <c r="H9" s="212"/>
      <c r="I9" s="212"/>
      <c r="J9" s="212"/>
      <c r="K9" s="212"/>
      <c r="L9" s="212"/>
      <c r="M9" s="212"/>
      <c r="N9" s="212"/>
      <c r="O9" s="65"/>
      <c r="P9" s="66"/>
    </row>
    <row r="10" spans="1:16" s="65" customFormat="1">
      <c r="A10" s="93" t="s">
        <v>181</v>
      </c>
    </row>
    <row r="11" spans="1:16" s="112" customFormat="1">
      <c r="B11" s="112" t="s">
        <v>163</v>
      </c>
      <c r="C11" s="113"/>
      <c r="G11" s="114">
        <v>22199031</v>
      </c>
      <c r="H11" s="114">
        <v>20691709</v>
      </c>
      <c r="I11" s="114">
        <v>19398782</v>
      </c>
      <c r="J11" s="114">
        <f>forecast_wlr*1000000</f>
        <v>18565743.944477051</v>
      </c>
      <c r="K11" s="114">
        <f>forecast_wlr*1000000</f>
        <v>17866145.243786246</v>
      </c>
      <c r="L11" s="114">
        <f>forecast_wlr*1000000</f>
        <v>17155779.065173578</v>
      </c>
      <c r="M11" s="114">
        <f>forecast_wlr*1000000</f>
        <v>16523327.763035312</v>
      </c>
      <c r="N11" s="114">
        <f>forecast_wlr*1000000</f>
        <v>15931683.777683463</v>
      </c>
    </row>
    <row r="12" spans="1:16" s="65" customFormat="1">
      <c r="G12" s="92"/>
      <c r="H12" s="92"/>
      <c r="I12" s="92"/>
      <c r="J12" s="92"/>
      <c r="K12" s="92"/>
      <c r="L12" s="92"/>
      <c r="M12" s="92"/>
      <c r="N12" s="92"/>
    </row>
    <row r="13" spans="1:16" s="65" customFormat="1">
      <c r="B13" s="13" t="s">
        <v>249</v>
      </c>
      <c r="G13" s="147">
        <f>G21+G25</f>
        <v>16905620</v>
      </c>
      <c r="H13" s="147">
        <f>H21+H25</f>
        <v>15378301</v>
      </c>
      <c r="I13" s="147">
        <f>I21+I25</f>
        <v>14610173</v>
      </c>
      <c r="J13" s="148"/>
      <c r="K13" s="148"/>
      <c r="L13" s="148"/>
      <c r="M13" s="148"/>
      <c r="N13" s="148"/>
    </row>
    <row r="14" spans="1:16" s="65" customFormat="1">
      <c r="B14" s="86" t="s">
        <v>301</v>
      </c>
      <c r="G14" s="117">
        <f>G13/G11</f>
        <v>0.76154765494043408</v>
      </c>
      <c r="H14" s="117">
        <f t="shared" ref="H14:I14" si="2">H13/H11</f>
        <v>0.74321077103877697</v>
      </c>
      <c r="I14" s="117">
        <f t="shared" si="2"/>
        <v>0.75314898636419547</v>
      </c>
      <c r="J14" s="106">
        <f>AVERAGE($G14:$I14)</f>
        <v>0.75263580411446884</v>
      </c>
      <c r="K14" s="106">
        <f t="shared" ref="K14:N14" si="3">AVERAGE($G14:$I14)</f>
        <v>0.75263580411446884</v>
      </c>
      <c r="L14" s="106">
        <f t="shared" si="3"/>
        <v>0.75263580411446884</v>
      </c>
      <c r="M14" s="106">
        <f t="shared" si="3"/>
        <v>0.75263580411446884</v>
      </c>
      <c r="N14" s="106">
        <f t="shared" si="3"/>
        <v>0.75263580411446884</v>
      </c>
      <c r="O14" s="84" t="s">
        <v>252</v>
      </c>
    </row>
    <row r="15" spans="1:16" s="65" customFormat="1">
      <c r="B15" s="13" t="s">
        <v>304</v>
      </c>
      <c r="G15" s="182">
        <f t="shared" ref="G15:I15" si="4">G14*G$11</f>
        <v>16905620</v>
      </c>
      <c r="H15" s="182">
        <f t="shared" si="4"/>
        <v>15378301</v>
      </c>
      <c r="I15" s="182">
        <f t="shared" si="4"/>
        <v>14610173</v>
      </c>
      <c r="J15" s="182">
        <f>J14*J$11</f>
        <v>13973243.622634817</v>
      </c>
      <c r="K15" s="182">
        <f t="shared" ref="K15:N15" si="5">K14*K$11</f>
        <v>13446700.591982953</v>
      </c>
      <c r="L15" s="182">
        <f t="shared" si="5"/>
        <v>12912053.571927086</v>
      </c>
      <c r="M15" s="182">
        <f t="shared" si="5"/>
        <v>12436048.07757901</v>
      </c>
      <c r="N15" s="182">
        <f t="shared" si="5"/>
        <v>11990755.630914232</v>
      </c>
    </row>
    <row r="16" spans="1:16" s="65" customFormat="1">
      <c r="G16" s="92"/>
      <c r="H16" s="92"/>
      <c r="I16" s="92"/>
      <c r="J16" s="92"/>
      <c r="K16" s="92"/>
      <c r="L16" s="92"/>
      <c r="M16" s="92"/>
      <c r="N16" s="92"/>
    </row>
    <row r="17" spans="2:15" s="65" customFormat="1">
      <c r="B17" s="13" t="s">
        <v>250</v>
      </c>
      <c r="G17" s="147">
        <f>G33+G29</f>
        <v>5293411</v>
      </c>
      <c r="H17" s="147">
        <f t="shared" ref="H17:I17" si="6">H33+H29</f>
        <v>5313408</v>
      </c>
      <c r="I17" s="147">
        <f t="shared" si="6"/>
        <v>4788609</v>
      </c>
      <c r="J17" s="92"/>
      <c r="K17" s="92"/>
      <c r="L17" s="92"/>
      <c r="M17" s="92"/>
      <c r="N17" s="92"/>
    </row>
    <row r="18" spans="2:15" s="65" customFormat="1">
      <c r="B18" s="86" t="s">
        <v>301</v>
      </c>
      <c r="G18" s="117">
        <f>G17/G11</f>
        <v>0.23845234505956589</v>
      </c>
      <c r="H18" s="117">
        <f>H17/H11</f>
        <v>0.25678922896122308</v>
      </c>
      <c r="I18" s="117">
        <f>I17/I11</f>
        <v>0.24685101363580456</v>
      </c>
      <c r="J18" s="106">
        <f>AVERAGE($G18:$I18)</f>
        <v>0.24736419588553116</v>
      </c>
      <c r="K18" s="106">
        <f t="shared" ref="K18:N18" si="7">AVERAGE($G18:$I18)</f>
        <v>0.24736419588553116</v>
      </c>
      <c r="L18" s="106">
        <f t="shared" si="7"/>
        <v>0.24736419588553116</v>
      </c>
      <c r="M18" s="106">
        <f t="shared" si="7"/>
        <v>0.24736419588553116</v>
      </c>
      <c r="N18" s="106">
        <f t="shared" si="7"/>
        <v>0.24736419588553116</v>
      </c>
      <c r="O18" s="84" t="s">
        <v>252</v>
      </c>
    </row>
    <row r="19" spans="2:15" s="65" customFormat="1">
      <c r="B19" s="13" t="s">
        <v>304</v>
      </c>
      <c r="G19" s="182">
        <f t="shared" ref="G19:I19" si="8">G18*G$11</f>
        <v>5293411</v>
      </c>
      <c r="H19" s="182">
        <f t="shared" si="8"/>
        <v>5313408</v>
      </c>
      <c r="I19" s="182">
        <f t="shared" si="8"/>
        <v>4788609</v>
      </c>
      <c r="J19" s="182">
        <f>J18*J$11</f>
        <v>4592500.3218422355</v>
      </c>
      <c r="K19" s="182">
        <f t="shared" ref="K19:N19" si="9">K18*K$11</f>
        <v>4419444.6518032914</v>
      </c>
      <c r="L19" s="182">
        <f t="shared" si="9"/>
        <v>4243725.4932464911</v>
      </c>
      <c r="M19" s="182">
        <f t="shared" si="9"/>
        <v>4087279.6854563025</v>
      </c>
      <c r="N19" s="182">
        <f t="shared" si="9"/>
        <v>3940928.1467692312</v>
      </c>
    </row>
    <row r="20" spans="2:15">
      <c r="B20" s="86"/>
      <c r="G20" s="101"/>
      <c r="H20" s="101"/>
      <c r="I20" s="101"/>
      <c r="J20" s="101"/>
      <c r="K20" s="101"/>
      <c r="L20" s="101"/>
      <c r="M20" s="101"/>
      <c r="N20" s="101"/>
    </row>
    <row r="21" spans="2:15">
      <c r="B21" s="73" t="s">
        <v>117</v>
      </c>
      <c r="G21" s="147">
        <f>Inputs!G33</f>
        <v>13728813</v>
      </c>
      <c r="H21" s="147">
        <f>Inputs!H33</f>
        <v>12250928</v>
      </c>
      <c r="I21" s="147">
        <f>Inputs!I33</f>
        <v>11418728</v>
      </c>
      <c r="J21" s="101"/>
      <c r="K21" s="101"/>
      <c r="L21" s="101"/>
      <c r="M21" s="101"/>
      <c r="N21" s="101"/>
    </row>
    <row r="22" spans="2:15">
      <c r="B22" s="86" t="s">
        <v>301</v>
      </c>
      <c r="G22" s="106">
        <f>G21/G$13</f>
        <v>0.81208574426729097</v>
      </c>
      <c r="H22" s="106">
        <f t="shared" ref="H22" si="10">H21/H$13</f>
        <v>0.79663728782522858</v>
      </c>
      <c r="I22" s="106">
        <f>I21/I$13</f>
        <v>0.78156008145830991</v>
      </c>
      <c r="J22" s="106">
        <f>AVERAGE($G22:$I22)</f>
        <v>0.79676103785027641</v>
      </c>
      <c r="K22" s="106">
        <f t="shared" ref="K22:N22" si="11">AVERAGE($G22:$I22)</f>
        <v>0.79676103785027641</v>
      </c>
      <c r="L22" s="106">
        <f t="shared" si="11"/>
        <v>0.79676103785027641</v>
      </c>
      <c r="M22" s="106">
        <f t="shared" si="11"/>
        <v>0.79676103785027641</v>
      </c>
      <c r="N22" s="106">
        <f t="shared" si="11"/>
        <v>0.79676103785027641</v>
      </c>
      <c r="O22" s="84" t="s">
        <v>252</v>
      </c>
    </row>
    <row r="23" spans="2:15">
      <c r="B23" s="13" t="s">
        <v>304</v>
      </c>
      <c r="C23" s="91" t="s">
        <v>177</v>
      </c>
      <c r="G23" s="108">
        <f>G22*G$15</f>
        <v>13728813</v>
      </c>
      <c r="H23" s="108">
        <f t="shared" ref="H23:N23" si="12">H22*H$15</f>
        <v>12250928</v>
      </c>
      <c r="I23" s="108">
        <f t="shared" si="12"/>
        <v>11418728</v>
      </c>
      <c r="J23" s="108">
        <f>J22*J$15</f>
        <v>11133336.090905273</v>
      </c>
      <c r="K23" s="108">
        <f t="shared" si="12"/>
        <v>10713807.119330265</v>
      </c>
      <c r="L23" s="108">
        <f t="shared" si="12"/>
        <v>10287821.204746993</v>
      </c>
      <c r="M23" s="108">
        <f t="shared" si="12"/>
        <v>9908558.573047787</v>
      </c>
      <c r="N23" s="108">
        <f t="shared" si="12"/>
        <v>9553766.9010962695</v>
      </c>
      <c r="O23" s="65"/>
    </row>
    <row r="24" spans="2:15">
      <c r="G24" s="101"/>
      <c r="H24" s="101"/>
      <c r="I24" s="101"/>
      <c r="J24" s="101"/>
      <c r="K24" s="101"/>
      <c r="L24" s="101"/>
      <c r="M24" s="101"/>
      <c r="N24" s="101"/>
    </row>
    <row r="25" spans="2:15">
      <c r="B25" s="73" t="s">
        <v>118</v>
      </c>
      <c r="G25" s="147">
        <f>Inputs!G34</f>
        <v>3176807</v>
      </c>
      <c r="H25" s="147">
        <f>Inputs!H34</f>
        <v>3127373</v>
      </c>
      <c r="I25" s="147">
        <f>Inputs!I34</f>
        <v>3191445</v>
      </c>
      <c r="J25" s="101"/>
      <c r="K25" s="101"/>
      <c r="L25" s="101"/>
      <c r="M25" s="101"/>
      <c r="N25" s="101"/>
    </row>
    <row r="26" spans="2:15">
      <c r="B26" s="86" t="s">
        <v>301</v>
      </c>
      <c r="G26" s="106">
        <f>G25/G$13</f>
        <v>0.18791425573270901</v>
      </c>
      <c r="H26" s="106">
        <f t="shared" ref="H26" si="13">H25/H$13</f>
        <v>0.20336271217477145</v>
      </c>
      <c r="I26" s="106">
        <f t="shared" ref="I26" si="14">I25/I$13</f>
        <v>0.21843991854169009</v>
      </c>
      <c r="J26" s="106">
        <f>AVERAGE($G26:$I26)</f>
        <v>0.20323896214972351</v>
      </c>
      <c r="K26" s="106">
        <f t="shared" ref="K26:N26" si="15">AVERAGE($G26:$I26)</f>
        <v>0.20323896214972351</v>
      </c>
      <c r="L26" s="106">
        <f t="shared" si="15"/>
        <v>0.20323896214972351</v>
      </c>
      <c r="M26" s="106">
        <f t="shared" si="15"/>
        <v>0.20323896214972351</v>
      </c>
      <c r="N26" s="106">
        <f t="shared" si="15"/>
        <v>0.20323896214972351</v>
      </c>
      <c r="O26" s="84" t="s">
        <v>252</v>
      </c>
    </row>
    <row r="27" spans="2:15">
      <c r="B27" s="13" t="s">
        <v>304</v>
      </c>
      <c r="C27" s="91" t="s">
        <v>178</v>
      </c>
      <c r="G27" s="108">
        <f>G26*G$15</f>
        <v>3176807</v>
      </c>
      <c r="H27" s="108">
        <f t="shared" ref="H27" si="16">H26*H$15</f>
        <v>3127373</v>
      </c>
      <c r="I27" s="108">
        <f t="shared" ref="I27" si="17">I26*I$15</f>
        <v>3191445</v>
      </c>
      <c r="J27" s="108">
        <f t="shared" ref="J27" si="18">J26*J$15</f>
        <v>2839907.5317295431</v>
      </c>
      <c r="K27" s="108">
        <f t="shared" ref="K27" si="19">K26*K$15</f>
        <v>2732893.4726526882</v>
      </c>
      <c r="L27" s="108">
        <f t="shared" ref="L27" si="20">L26*L$15</f>
        <v>2624232.3671800913</v>
      </c>
      <c r="M27" s="108">
        <f t="shared" ref="M27" si="21">M26*M$15</f>
        <v>2527489.5045312224</v>
      </c>
      <c r="N27" s="108">
        <f t="shared" ref="N27" si="22">N26*N$15</f>
        <v>2436988.7298179613</v>
      </c>
      <c r="O27" s="65"/>
    </row>
    <row r="28" spans="2:15">
      <c r="G28" s="101"/>
      <c r="H28" s="101"/>
      <c r="I28" s="101"/>
      <c r="J28" s="101"/>
      <c r="K28" s="101"/>
      <c r="L28" s="101"/>
      <c r="M28" s="101"/>
      <c r="N28" s="101"/>
    </row>
    <row r="29" spans="2:15">
      <c r="B29" s="73" t="s">
        <v>119</v>
      </c>
      <c r="G29" s="147">
        <f>Inputs!G35</f>
        <v>3609219</v>
      </c>
      <c r="H29" s="147">
        <f>Inputs!H35</f>
        <v>3487124</v>
      </c>
      <c r="I29" s="147">
        <f>Inputs!I35</f>
        <v>3026492</v>
      </c>
      <c r="J29" s="101"/>
      <c r="K29" s="101"/>
      <c r="L29" s="101"/>
      <c r="M29" s="101"/>
      <c r="N29" s="101"/>
    </row>
    <row r="30" spans="2:15">
      <c r="B30" s="86" t="s">
        <v>301</v>
      </c>
      <c r="G30" s="106">
        <f>G29/G$19</f>
        <v>0.68183237613705039</v>
      </c>
      <c r="H30" s="106">
        <f t="shared" ref="H30" si="23">H29/H$19</f>
        <v>0.65628764062537637</v>
      </c>
      <c r="I30" s="106">
        <f>I29/I$19</f>
        <v>0.63201902681968813</v>
      </c>
      <c r="J30" s="106">
        <f>AVERAGE($G30:$I30)</f>
        <v>0.65671301452737163</v>
      </c>
      <c r="K30" s="106">
        <f t="shared" ref="K30:N30" si="24">AVERAGE($G30:$I30)</f>
        <v>0.65671301452737163</v>
      </c>
      <c r="L30" s="106">
        <f t="shared" si="24"/>
        <v>0.65671301452737163</v>
      </c>
      <c r="M30" s="106">
        <f t="shared" si="24"/>
        <v>0.65671301452737163</v>
      </c>
      <c r="N30" s="106">
        <f t="shared" si="24"/>
        <v>0.65671301452737163</v>
      </c>
      <c r="O30" s="84" t="s">
        <v>252</v>
      </c>
    </row>
    <row r="31" spans="2:15">
      <c r="B31" s="13" t="s">
        <v>304</v>
      </c>
      <c r="C31" s="91" t="s">
        <v>179</v>
      </c>
      <c r="G31" s="108">
        <f>G30*G$19</f>
        <v>3609219</v>
      </c>
      <c r="H31" s="108">
        <f t="shared" ref="H31:N31" si="25">H30*H$19</f>
        <v>3487124</v>
      </c>
      <c r="I31" s="108">
        <f t="shared" si="25"/>
        <v>3026492</v>
      </c>
      <c r="J31" s="108">
        <f t="shared" si="25"/>
        <v>3015954.7305749389</v>
      </c>
      <c r="K31" s="108">
        <f t="shared" si="25"/>
        <v>2902306.8198226099</v>
      </c>
      <c r="L31" s="108">
        <f t="shared" si="25"/>
        <v>2786909.7614965602</v>
      </c>
      <c r="M31" s="108">
        <f t="shared" si="25"/>
        <v>2684169.7634524959</v>
      </c>
      <c r="N31" s="108">
        <f t="shared" si="25"/>
        <v>2588058.8033005898</v>
      </c>
      <c r="O31" s="65"/>
    </row>
    <row r="32" spans="2:15">
      <c r="G32" s="101"/>
      <c r="H32" s="101"/>
      <c r="I32" s="101"/>
      <c r="J32" s="101"/>
      <c r="K32" s="101"/>
      <c r="L32" s="101"/>
      <c r="M32" s="101"/>
      <c r="N32" s="101"/>
    </row>
    <row r="33" spans="1:15">
      <c r="B33" s="73" t="s">
        <v>120</v>
      </c>
      <c r="G33" s="147">
        <f>Inputs!G36</f>
        <v>1684192</v>
      </c>
      <c r="H33" s="147">
        <f>Inputs!H36</f>
        <v>1826284</v>
      </c>
      <c r="I33" s="147">
        <f>Inputs!I36</f>
        <v>1762117</v>
      </c>
      <c r="J33" s="101"/>
      <c r="K33" s="101"/>
      <c r="L33" s="101"/>
      <c r="M33" s="101"/>
      <c r="N33" s="101"/>
    </row>
    <row r="34" spans="1:15">
      <c r="B34" s="86" t="s">
        <v>301</v>
      </c>
      <c r="G34" s="106">
        <f>G33/G$19</f>
        <v>0.31816762386294961</v>
      </c>
      <c r="H34" s="106">
        <f t="shared" ref="H34:I34" si="26">H33/H$19</f>
        <v>0.34371235937462358</v>
      </c>
      <c r="I34" s="106">
        <f t="shared" si="26"/>
        <v>0.36798097318031187</v>
      </c>
      <c r="J34" s="106">
        <f>AVERAGE($G34:$I34)</f>
        <v>0.34328698547262837</v>
      </c>
      <c r="K34" s="106">
        <f t="shared" ref="K34:N34" si="27">AVERAGE($G34:$I34)</f>
        <v>0.34328698547262837</v>
      </c>
      <c r="L34" s="106">
        <f t="shared" si="27"/>
        <v>0.34328698547262837</v>
      </c>
      <c r="M34" s="106">
        <f t="shared" si="27"/>
        <v>0.34328698547262837</v>
      </c>
      <c r="N34" s="106">
        <f t="shared" si="27"/>
        <v>0.34328698547262837</v>
      </c>
      <c r="O34" s="84" t="s">
        <v>252</v>
      </c>
    </row>
    <row r="35" spans="1:15">
      <c r="B35" s="13" t="s">
        <v>304</v>
      </c>
      <c r="C35" s="91" t="s">
        <v>180</v>
      </c>
      <c r="G35" s="108">
        <f>G34*G$19</f>
        <v>1684192</v>
      </c>
      <c r="H35" s="108">
        <f t="shared" ref="H35:N35" si="28">H34*H$19</f>
        <v>1826284</v>
      </c>
      <c r="I35" s="108">
        <f t="shared" si="28"/>
        <v>1762117</v>
      </c>
      <c r="J35" s="108">
        <f t="shared" si="28"/>
        <v>1576545.5912672966</v>
      </c>
      <c r="K35" s="108">
        <f t="shared" si="28"/>
        <v>1517137.8319806817</v>
      </c>
      <c r="L35" s="108">
        <f t="shared" si="28"/>
        <v>1456815.7317499309</v>
      </c>
      <c r="M35" s="108">
        <f t="shared" si="28"/>
        <v>1403109.9220038068</v>
      </c>
      <c r="N35" s="108">
        <f t="shared" si="28"/>
        <v>1352869.3434686414</v>
      </c>
      <c r="O35" s="65"/>
    </row>
    <row r="36" spans="1:15">
      <c r="G36" s="101"/>
      <c r="H36" s="101"/>
      <c r="I36" s="101"/>
      <c r="J36" s="101"/>
      <c r="K36" s="101"/>
      <c r="L36" s="101"/>
      <c r="M36" s="101"/>
      <c r="N36" s="101"/>
    </row>
    <row r="37" spans="1:15">
      <c r="B37" s="104" t="s">
        <v>34</v>
      </c>
      <c r="C37" s="107"/>
      <c r="D37" s="104"/>
      <c r="E37" s="104"/>
      <c r="F37" s="104"/>
      <c r="G37" s="105">
        <f t="shared" ref="G37:I37" si="29">G35+G31+G27+G23-G11</f>
        <v>0</v>
      </c>
      <c r="H37" s="105">
        <f t="shared" si="29"/>
        <v>0</v>
      </c>
      <c r="I37" s="105">
        <f t="shared" si="29"/>
        <v>0</v>
      </c>
      <c r="J37" s="105">
        <f>J35+J31+J27+J23-J11</f>
        <v>0</v>
      </c>
      <c r="K37" s="105">
        <f t="shared" ref="K37:N37" si="30">K35+K31+K27+K23-K11</f>
        <v>0</v>
      </c>
      <c r="L37" s="105">
        <f t="shared" si="30"/>
        <v>0</v>
      </c>
      <c r="M37" s="105">
        <f t="shared" si="30"/>
        <v>0</v>
      </c>
      <c r="N37" s="105">
        <f t="shared" si="30"/>
        <v>0</v>
      </c>
      <c r="O37" s="104" t="s">
        <v>176</v>
      </c>
    </row>
    <row r="38" spans="1:15">
      <c r="B38" s="104"/>
      <c r="C38" s="107"/>
      <c r="D38" s="104"/>
      <c r="E38" s="104"/>
      <c r="F38" s="104"/>
      <c r="G38" s="105"/>
      <c r="H38" s="105"/>
      <c r="I38" s="105"/>
      <c r="J38" s="105"/>
      <c r="K38" s="105"/>
      <c r="L38" s="105"/>
      <c r="M38" s="105"/>
      <c r="N38" s="105"/>
    </row>
    <row r="39" spans="1:15">
      <c r="B39" s="104"/>
      <c r="C39" s="107"/>
      <c r="D39" s="104"/>
      <c r="E39" s="104"/>
      <c r="F39" s="104"/>
      <c r="G39" s="105"/>
      <c r="H39" s="105"/>
      <c r="I39" s="145"/>
      <c r="J39" s="105"/>
      <c r="K39" s="105"/>
      <c r="L39" s="105"/>
      <c r="M39" s="105"/>
      <c r="N39" s="105"/>
      <c r="O39" s="104"/>
    </row>
    <row r="40" spans="1:15">
      <c r="A40" s="93" t="s">
        <v>286</v>
      </c>
      <c r="B40" s="104"/>
      <c r="C40" s="107"/>
      <c r="D40" s="104"/>
      <c r="E40" s="104"/>
      <c r="F40" s="104"/>
      <c r="G40" s="105"/>
      <c r="H40" s="105"/>
      <c r="I40" s="105"/>
      <c r="J40" s="105"/>
      <c r="K40" s="105"/>
      <c r="L40" s="105"/>
      <c r="M40" s="105"/>
      <c r="N40" s="105"/>
    </row>
    <row r="41" spans="1:15">
      <c r="A41" s="86"/>
      <c r="B41" s="86"/>
      <c r="G41" s="101"/>
      <c r="H41" s="101"/>
      <c r="I41" s="101"/>
      <c r="J41" s="102"/>
      <c r="K41" s="102"/>
      <c r="L41" s="102"/>
      <c r="M41" s="102"/>
      <c r="N41" s="102"/>
    </row>
    <row r="42" spans="1:15">
      <c r="B42" s="73" t="s">
        <v>121</v>
      </c>
      <c r="G42" s="147">
        <f>Inputs!G38</f>
        <v>562789</v>
      </c>
      <c r="H42" s="147">
        <f>Inputs!H38</f>
        <v>555669</v>
      </c>
      <c r="I42" s="147">
        <f>Inputs!I38</f>
        <v>569401</v>
      </c>
      <c r="J42" s="102"/>
      <c r="K42" s="102"/>
      <c r="L42" s="102"/>
      <c r="M42" s="102"/>
      <c r="N42" s="102"/>
    </row>
    <row r="43" spans="1:15">
      <c r="B43" s="86" t="s">
        <v>301</v>
      </c>
      <c r="G43" s="106">
        <f>G42/(wlr_bri+wlr_pri)</f>
        <v>3.2459797051937612E-2</v>
      </c>
      <c r="H43" s="106">
        <f>H42/(wlr_bri+wlr_pri)</f>
        <v>3.5307355700692815E-2</v>
      </c>
      <c r="I43" s="106">
        <f>I42/(wlr_bri+wlr_pri)</f>
        <v>3.9417952789919435E-2</v>
      </c>
      <c r="J43" s="106"/>
      <c r="K43" s="106"/>
      <c r="L43" s="106"/>
      <c r="M43" s="106"/>
      <c r="N43" s="106"/>
      <c r="O43" s="84"/>
    </row>
    <row r="44" spans="1:15">
      <c r="B44" s="13" t="s">
        <v>304</v>
      </c>
      <c r="C44" s="91" t="s">
        <v>184</v>
      </c>
      <c r="G44" s="108">
        <f>G42</f>
        <v>562789</v>
      </c>
      <c r="H44" s="108">
        <f t="shared" ref="H44:I44" si="31">H42</f>
        <v>555669</v>
      </c>
      <c r="I44" s="108">
        <f t="shared" si="31"/>
        <v>569401</v>
      </c>
      <c r="J44" s="108">
        <f>(wlr_bri+wlr_pri)*(AVERAGE($G$43:$I$43))</f>
        <v>505531.07668419625</v>
      </c>
      <c r="K44" s="108">
        <f>(wlr_bri+wlr_pri)*(AVERAGE($G$43:$I$43))</f>
        <v>486481.53654916177</v>
      </c>
      <c r="L44" s="108">
        <f>(wlr_bri+wlr_pri)*(AVERAGE($G$43:$I$43))</f>
        <v>467138.80618575343</v>
      </c>
      <c r="M44" s="108">
        <f>(wlr_bri+wlr_pri)*(AVERAGE($G$43:$I$43))</f>
        <v>449917.63860548043</v>
      </c>
      <c r="N44" s="108">
        <f>(wlr_bri+wlr_pri)*(AVERAGE($G$43:$I$43))</f>
        <v>433807.62320167408</v>
      </c>
      <c r="O44" s="84" t="s">
        <v>252</v>
      </c>
    </row>
    <row r="45" spans="1:15" s="65" customFormat="1">
      <c r="G45" s="92"/>
      <c r="H45" s="92"/>
      <c r="I45" s="92"/>
      <c r="J45" s="92"/>
      <c r="K45" s="92"/>
      <c r="L45" s="92"/>
      <c r="M45" s="92"/>
      <c r="N45" s="92"/>
    </row>
    <row r="46" spans="1:15" s="65" customFormat="1">
      <c r="A46" s="73"/>
      <c r="G46" s="92"/>
      <c r="H46" s="92"/>
      <c r="I46" s="92"/>
      <c r="J46" s="92"/>
      <c r="K46" s="92"/>
      <c r="L46" s="92"/>
      <c r="M46" s="92"/>
      <c r="N46" s="92"/>
    </row>
    <row r="47" spans="1:15">
      <c r="B47" s="73" t="s">
        <v>122</v>
      </c>
      <c r="G47" s="147">
        <f>Inputs!G39</f>
        <v>408693</v>
      </c>
      <c r="H47" s="147">
        <f>Inputs!H39</f>
        <v>330002</v>
      </c>
      <c r="I47" s="147">
        <f>Inputs!I39</f>
        <v>317101</v>
      </c>
      <c r="J47" s="102"/>
      <c r="K47" s="102"/>
      <c r="L47" s="102"/>
      <c r="M47" s="102"/>
      <c r="N47" s="102"/>
    </row>
    <row r="48" spans="1:15">
      <c r="B48" s="86" t="s">
        <v>301</v>
      </c>
      <c r="G48" s="106">
        <f>G47/(wlr_pri+wlr_bri)</f>
        <v>2.3572052468238611E-2</v>
      </c>
      <c r="H48" s="106">
        <f>H47/(wlr_pri+wlr_bri)</f>
        <v>2.0968414642422075E-2</v>
      </c>
      <c r="I48" s="106">
        <f>I47/(wlr_pri+wlr_bri)</f>
        <v>2.1951967502052583E-2</v>
      </c>
      <c r="J48" s="106"/>
      <c r="K48" s="106"/>
      <c r="L48" s="106"/>
      <c r="M48" s="106"/>
      <c r="N48" s="106"/>
      <c r="O48" s="84"/>
    </row>
    <row r="49" spans="1:15">
      <c r="B49" s="13" t="s">
        <v>304</v>
      </c>
      <c r="C49" s="91" t="s">
        <v>185</v>
      </c>
      <c r="G49" s="108">
        <f>G47</f>
        <v>408693</v>
      </c>
      <c r="H49" s="108">
        <f t="shared" ref="H49:I49" si="32">H47</f>
        <v>330002</v>
      </c>
      <c r="I49" s="108">
        <f t="shared" si="32"/>
        <v>317101</v>
      </c>
      <c r="J49" s="108">
        <f>(wlr_bri+wlr_pri)*(AVERAGE($G$48:$I$48))</f>
        <v>313606.93158784573</v>
      </c>
      <c r="K49" s="108">
        <f>(wlr_bri+wlr_pri)*(AVERAGE($G$48:$I$48))</f>
        <v>301789.5219261254</v>
      </c>
      <c r="L49" s="108">
        <f>(wlr_bri+wlr_pri)*(AVERAGE($G$48:$I$48))</f>
        <v>289790.23128392233</v>
      </c>
      <c r="M49" s="108">
        <f>(wlr_bri+wlr_pri)*(AVERAGE($G$48:$I$48))</f>
        <v>279107.05517013557</v>
      </c>
      <c r="N49" s="108">
        <f>(wlr_bri+wlr_pri)*(AVERAGE($G$48:$I$48))</f>
        <v>269113.18390952313</v>
      </c>
      <c r="O49" s="84" t="s">
        <v>252</v>
      </c>
    </row>
    <row r="50" spans="1:15">
      <c r="G50" s="101"/>
      <c r="H50" s="101"/>
      <c r="I50" s="101"/>
      <c r="J50" s="102"/>
      <c r="K50" s="102"/>
      <c r="L50" s="102"/>
      <c r="M50" s="102"/>
      <c r="N50" s="150"/>
    </row>
    <row r="51" spans="1:15">
      <c r="E51" s="97"/>
      <c r="G51" s="101"/>
      <c r="H51" s="101"/>
      <c r="I51" s="101"/>
      <c r="J51" s="102"/>
      <c r="K51" s="102"/>
      <c r="L51" s="102"/>
      <c r="M51" s="102"/>
      <c r="N51" s="102"/>
    </row>
    <row r="52" spans="1:15">
      <c r="A52" s="110"/>
      <c r="B52" s="59" t="s">
        <v>289</v>
      </c>
      <c r="G52" s="147">
        <f>Inputs!G40</f>
        <v>717579</v>
      </c>
      <c r="H52" s="147">
        <f>Inputs!H40</f>
        <v>739455</v>
      </c>
      <c r="I52" s="147">
        <f>Inputs!I40</f>
        <v>534313</v>
      </c>
      <c r="J52" s="102"/>
      <c r="K52" s="102"/>
      <c r="L52" s="102"/>
      <c r="M52" s="102"/>
      <c r="N52" s="102"/>
    </row>
    <row r="53" spans="1:15">
      <c r="A53" s="110"/>
      <c r="B53" s="86" t="s">
        <v>301</v>
      </c>
      <c r="G53" s="106">
        <f>G52/(wlr_bre+wlr_pre)</f>
        <v>0.1476196559596083</v>
      </c>
      <c r="H53" s="106">
        <f>H52/(wlr_bre+wlr_pre)</f>
        <v>0.14927456624469559</v>
      </c>
      <c r="I53" s="106">
        <f>I52/(wlr_bre+wlr_pre)</f>
        <v>0.10786440141457804</v>
      </c>
      <c r="J53" s="106"/>
      <c r="K53" s="106"/>
      <c r="L53" s="106"/>
      <c r="M53" s="106"/>
      <c r="N53" s="106"/>
      <c r="O53" s="84"/>
    </row>
    <row r="54" spans="1:15">
      <c r="A54" s="151"/>
      <c r="B54" s="13" t="s">
        <v>304</v>
      </c>
      <c r="C54" s="91" t="s">
        <v>186</v>
      </c>
      <c r="G54" s="108">
        <f>G52</f>
        <v>717579</v>
      </c>
      <c r="H54" s="108">
        <f t="shared" ref="H54:I54" si="33">H52</f>
        <v>739455</v>
      </c>
      <c r="I54" s="108">
        <f t="shared" si="33"/>
        <v>534313</v>
      </c>
      <c r="J54" s="108">
        <f>(wlr_bre+wlr_pre)*AVERAGE($G$53:$I$53)</f>
        <v>595865.82911383791</v>
      </c>
      <c r="K54" s="108">
        <f>(wlr_bre+wlr_pre)*AVERAGE($G$53:$I$53)</f>
        <v>573412.27373352135</v>
      </c>
      <c r="L54" s="108">
        <f>(wlr_bre+wlr_pre)*AVERAGE($G$53:$I$53)</f>
        <v>550613.13714845688</v>
      </c>
      <c r="M54" s="108">
        <f>(wlr_bre+wlr_pre)*AVERAGE($G$53:$I$53)</f>
        <v>530314.6712938284</v>
      </c>
      <c r="N54" s="108">
        <f>(wlr_bre+wlr_pre)*AVERAGE($G$53:$I$53)</f>
        <v>511325.91248479771</v>
      </c>
      <c r="O54" s="84" t="s">
        <v>252</v>
      </c>
    </row>
    <row r="55" spans="1:15">
      <c r="G55" s="101"/>
      <c r="H55" s="101"/>
      <c r="I55" s="101"/>
      <c r="J55" s="102"/>
      <c r="K55" s="102"/>
      <c r="L55" s="102"/>
      <c r="M55" s="102"/>
      <c r="N55" s="102"/>
    </row>
    <row r="56" spans="1:15" s="65" customFormat="1">
      <c r="G56" s="92"/>
      <c r="H56" s="92"/>
      <c r="I56" s="92"/>
      <c r="J56" s="92"/>
      <c r="K56" s="92"/>
      <c r="L56" s="92"/>
      <c r="M56" s="92"/>
      <c r="N56" s="92"/>
    </row>
    <row r="57" spans="1:15">
      <c r="B57" s="86" t="s">
        <v>167</v>
      </c>
      <c r="G57" s="147">
        <f>Inputs!G41</f>
        <v>2594413</v>
      </c>
      <c r="H57" s="147">
        <f>Inputs!H41</f>
        <v>1521075</v>
      </c>
      <c r="I57" s="147">
        <f>Inputs!I41</f>
        <v>1119313</v>
      </c>
      <c r="J57" s="102"/>
      <c r="K57" s="102"/>
      <c r="L57" s="102"/>
      <c r="M57" s="102"/>
      <c r="N57" s="102"/>
    </row>
    <row r="58" spans="1:15">
      <c r="A58" s="110"/>
      <c r="B58" s="13" t="s">
        <v>304</v>
      </c>
      <c r="C58" s="91" t="s">
        <v>187</v>
      </c>
      <c r="E58" s="198">
        <v>1.5</v>
      </c>
      <c r="G58" s="108">
        <f>G57</f>
        <v>2594413</v>
      </c>
      <c r="H58" s="108">
        <f>H57</f>
        <v>1521075</v>
      </c>
      <c r="I58" s="108">
        <f>I57</f>
        <v>1119313</v>
      </c>
      <c r="J58" s="108">
        <f>I58*(1+((I58/G58)^(1/2)-1)/$E58)</f>
        <v>863240.22561853332</v>
      </c>
      <c r="K58" s="108">
        <f t="shared" ref="K58:N58" si="34">J58*(1+((J58/H58)^(1/2)-1)/$E58)</f>
        <v>721288.49664014322</v>
      </c>
      <c r="L58" s="108">
        <f t="shared" si="34"/>
        <v>626437.65041591553</v>
      </c>
      <c r="M58" s="108">
        <f t="shared" si="34"/>
        <v>564574.65351144224</v>
      </c>
      <c r="N58" s="108">
        <f t="shared" si="34"/>
        <v>521185.47039561818</v>
      </c>
      <c r="O58" s="84" t="s">
        <v>251</v>
      </c>
    </row>
    <row r="59" spans="1:15">
      <c r="A59" s="110"/>
      <c r="B59" s="86"/>
      <c r="G59" s="101"/>
      <c r="H59" s="101"/>
      <c r="I59" s="101"/>
      <c r="J59" s="102"/>
      <c r="K59" s="102"/>
      <c r="L59" s="102"/>
      <c r="M59" s="102"/>
      <c r="N59" s="102"/>
    </row>
    <row r="60" spans="1:15" s="65" customFormat="1">
      <c r="G60" s="92"/>
      <c r="H60" s="92"/>
      <c r="I60" s="92"/>
      <c r="J60" s="92"/>
      <c r="K60" s="92"/>
      <c r="L60" s="92"/>
      <c r="M60" s="92"/>
      <c r="N60" s="92"/>
    </row>
    <row r="61" spans="1:15">
      <c r="A61" s="110"/>
      <c r="B61" s="86" t="s">
        <v>168</v>
      </c>
      <c r="G61" s="147">
        <f>Inputs!G42</f>
        <v>2162809</v>
      </c>
      <c r="H61" s="147">
        <f>Inputs!H42</f>
        <v>1389783</v>
      </c>
      <c r="I61" s="147">
        <f>Inputs!I42</f>
        <v>612297</v>
      </c>
      <c r="J61" s="102"/>
      <c r="K61" s="102"/>
      <c r="L61" s="102"/>
      <c r="M61" s="102"/>
      <c r="N61" s="102"/>
    </row>
    <row r="62" spans="1:15">
      <c r="A62" s="110"/>
      <c r="B62" s="13" t="s">
        <v>304</v>
      </c>
      <c r="C62" s="91" t="s">
        <v>188</v>
      </c>
      <c r="E62" s="198">
        <v>1.5</v>
      </c>
      <c r="G62" s="108">
        <f>G61</f>
        <v>2162809</v>
      </c>
      <c r="H62" s="108">
        <f>H61</f>
        <v>1389783</v>
      </c>
      <c r="I62" s="108">
        <f>I61</f>
        <v>612297</v>
      </c>
      <c r="J62" s="108">
        <f>I62*(1+((I62/G62)^(1/2)-1)/$E62)</f>
        <v>421290.51477328467</v>
      </c>
      <c r="K62" s="108">
        <f t="shared" ref="K62" si="35">J62*(1+((J62/H62)^(1/2)-1)/$E62)</f>
        <v>295065.15969631122</v>
      </c>
      <c r="L62" s="108">
        <f t="shared" ref="L62" si="36">K62*(1+((K62/I62)^(1/2)-1)/$E62)</f>
        <v>234909.09966857161</v>
      </c>
      <c r="M62" s="108">
        <f t="shared" ref="M62" si="37">L62*(1+((L62/J62)^(1/2)-1)/$E62)</f>
        <v>195244.26413523007</v>
      </c>
      <c r="N62" s="108">
        <f t="shared" ref="N62" si="38">M62*(1+((M62/K62)^(1/2)-1)/$E62)</f>
        <v>170962.21815858764</v>
      </c>
      <c r="O62" s="84" t="s">
        <v>251</v>
      </c>
    </row>
    <row r="63" spans="1:15">
      <c r="B63" s="86"/>
      <c r="G63" s="101"/>
      <c r="H63" s="101"/>
      <c r="I63" s="101"/>
      <c r="J63" s="102"/>
      <c r="K63" s="102"/>
      <c r="L63" s="102"/>
      <c r="M63" s="102"/>
      <c r="N63" s="102"/>
    </row>
    <row r="65" spans="1:15">
      <c r="B65" s="103" t="s">
        <v>269</v>
      </c>
    </row>
    <row r="66" spans="1:15" s="87" customFormat="1">
      <c r="A66" s="73"/>
      <c r="B66" s="86" t="s">
        <v>303</v>
      </c>
      <c r="C66" s="152"/>
      <c r="G66" s="185">
        <f t="shared" ref="G66:N66" si="39">WLR_rentals_total-SMPF_rentals_total</f>
        <v>10110031</v>
      </c>
      <c r="H66" s="185">
        <f t="shared" si="39"/>
        <v>9473709</v>
      </c>
      <c r="I66" s="185">
        <f t="shared" si="39"/>
        <v>8554782</v>
      </c>
      <c r="J66" s="185">
        <f t="shared" si="39"/>
        <v>7473163.7065816429</v>
      </c>
      <c r="K66" s="185">
        <f t="shared" si="39"/>
        <v>6923037.5889780857</v>
      </c>
      <c r="L66" s="185">
        <f t="shared" si="39"/>
        <v>6371745.8277274687</v>
      </c>
      <c r="M66" s="185">
        <f t="shared" si="39"/>
        <v>5955039.3866471015</v>
      </c>
      <c r="N66" s="185">
        <f t="shared" si="39"/>
        <v>5615492.9683701843</v>
      </c>
    </row>
    <row r="67" spans="1:15">
      <c r="B67" s="13" t="s">
        <v>304</v>
      </c>
      <c r="C67" s="91" t="s">
        <v>302</v>
      </c>
      <c r="G67" s="108"/>
      <c r="H67" s="108"/>
      <c r="I67" s="108"/>
      <c r="J67" s="108">
        <v>10000</v>
      </c>
      <c r="K67" s="108">
        <f>J67*K66/J66</f>
        <v>9263.8644900565214</v>
      </c>
      <c r="L67" s="108">
        <f>K67*L66/K66</f>
        <v>8526.1692074480416</v>
      </c>
      <c r="M67" s="108">
        <f>L67*M66/L66</f>
        <v>7968.5654168160063</v>
      </c>
      <c r="N67" s="108">
        <f>M67*N66/M66</f>
        <v>7514.2111010154877</v>
      </c>
      <c r="O67" s="84"/>
    </row>
    <row r="70" spans="1:15">
      <c r="B70" s="86" t="s">
        <v>335</v>
      </c>
      <c r="G70" s="146"/>
      <c r="H70" s="146"/>
      <c r="I70" s="146"/>
      <c r="J70" s="146"/>
      <c r="K70" s="146"/>
      <c r="L70" s="146"/>
      <c r="M70" s="146"/>
      <c r="N70" s="146"/>
    </row>
    <row r="71" spans="1:15">
      <c r="B71" s="217" t="s">
        <v>336</v>
      </c>
      <c r="G71" s="154">
        <f t="shared" ref="G71:N71" si="40">wlr_bci+wlr_pci+wlr_ce</f>
        <v>1689061</v>
      </c>
      <c r="H71" s="154">
        <f t="shared" si="40"/>
        <v>1625126</v>
      </c>
      <c r="I71" s="154">
        <f t="shared" si="40"/>
        <v>1420815</v>
      </c>
      <c r="J71" s="154">
        <f t="shared" si="40"/>
        <v>1415003.8373858798</v>
      </c>
      <c r="K71" s="154">
        <f t="shared" si="40"/>
        <v>1361683.3322088085</v>
      </c>
      <c r="L71" s="154">
        <f t="shared" si="40"/>
        <v>1307542.1746181326</v>
      </c>
      <c r="M71" s="154">
        <f t="shared" si="40"/>
        <v>1259339.3650694443</v>
      </c>
      <c r="N71" s="154">
        <f t="shared" si="40"/>
        <v>1214246.7195959948</v>
      </c>
    </row>
    <row r="72" spans="1:15">
      <c r="B72" s="217" t="s">
        <v>337</v>
      </c>
      <c r="G72" s="154">
        <f t="shared" ref="G72:N72" si="41">G4*WLR_rentals_total/(WLR_rentals_total+mpf_rentals_total)</f>
        <v>0</v>
      </c>
      <c r="H72" s="154">
        <f t="shared" si="41"/>
        <v>-37131.487899826505</v>
      </c>
      <c r="I72" s="154">
        <f t="shared" si="41"/>
        <v>173743.02408124911</v>
      </c>
      <c r="J72" s="154">
        <f t="shared" si="41"/>
        <v>176422.40885629531</v>
      </c>
      <c r="K72" s="154">
        <f t="shared" si="41"/>
        <v>167398.16905469453</v>
      </c>
      <c r="L72" s="154">
        <f t="shared" si="41"/>
        <v>160414.39976370573</v>
      </c>
      <c r="M72" s="154">
        <f t="shared" si="41"/>
        <v>153231.72552778726</v>
      </c>
      <c r="N72" s="154">
        <f t="shared" si="41"/>
        <v>147266.33883526464</v>
      </c>
      <c r="O72" s="84" t="s">
        <v>338</v>
      </c>
    </row>
    <row r="73" spans="1:15">
      <c r="B73" s="217" t="s">
        <v>339</v>
      </c>
      <c r="G73" s="154">
        <f t="shared" ref="G73:N73" si="42">G7*churn*WLR_rentals_total/(WLR_rentals_total+mpf_rentals_total)</f>
        <v>0</v>
      </c>
      <c r="H73" s="154">
        <f t="shared" si="42"/>
        <v>611135.76138276875</v>
      </c>
      <c r="I73" s="154">
        <f t="shared" si="42"/>
        <v>576545.78344980883</v>
      </c>
      <c r="J73" s="154">
        <f t="shared" si="42"/>
        <v>553186.43174758565</v>
      </c>
      <c r="K73" s="154">
        <f t="shared" si="42"/>
        <v>531724.60429673572</v>
      </c>
      <c r="L73" s="154">
        <f t="shared" si="42"/>
        <v>510406.05158300552</v>
      </c>
      <c r="M73" s="154">
        <f t="shared" si="42"/>
        <v>490937.57565276528</v>
      </c>
      <c r="N73" s="154">
        <f t="shared" si="42"/>
        <v>472620.8994232571</v>
      </c>
      <c r="O73" s="84" t="s">
        <v>340</v>
      </c>
    </row>
    <row r="74" spans="1:15">
      <c r="B74" s="217" t="s">
        <v>341</v>
      </c>
      <c r="G74" s="154">
        <f>G71-G72-G73</f>
        <v>1689061</v>
      </c>
      <c r="H74" s="154">
        <f>H71-H72-H73</f>
        <v>1051121.726517058</v>
      </c>
      <c r="I74" s="154">
        <f t="shared" ref="I74:N74" si="43">I71-I72-I73</f>
        <v>670526.19246894214</v>
      </c>
      <c r="J74" s="154">
        <f t="shared" si="43"/>
        <v>685394.9967819989</v>
      </c>
      <c r="K74" s="154">
        <f t="shared" si="43"/>
        <v>662560.55885737832</v>
      </c>
      <c r="L74" s="154">
        <f t="shared" si="43"/>
        <v>636721.72327142139</v>
      </c>
      <c r="M74" s="154">
        <f t="shared" si="43"/>
        <v>615170.0638888916</v>
      </c>
      <c r="N74" s="154">
        <f t="shared" si="43"/>
        <v>594359.48133747315</v>
      </c>
      <c r="O74" s="84"/>
    </row>
    <row r="75" spans="1:15">
      <c r="B75" s="217"/>
      <c r="G75" s="154"/>
      <c r="H75" s="154"/>
      <c r="I75" s="154"/>
      <c r="J75" s="154"/>
      <c r="K75" s="154"/>
      <c r="L75" s="154"/>
      <c r="M75" s="154"/>
      <c r="N75" s="154"/>
      <c r="O75" s="84"/>
    </row>
    <row r="76" spans="1:15">
      <c r="B76" s="217" t="s">
        <v>79</v>
      </c>
      <c r="C76" s="91" t="s">
        <v>348</v>
      </c>
      <c r="G76" s="108"/>
      <c r="H76" s="108"/>
      <c r="I76" s="108"/>
      <c r="J76" s="108">
        <f>J74</f>
        <v>685394.9967819989</v>
      </c>
      <c r="K76" s="108">
        <f t="shared" ref="K76:N76" si="44">K74</f>
        <v>662560.55885737832</v>
      </c>
      <c r="L76" s="108">
        <f t="shared" si="44"/>
        <v>636721.72327142139</v>
      </c>
      <c r="M76" s="108">
        <f t="shared" si="44"/>
        <v>615170.0638888916</v>
      </c>
      <c r="N76" s="108">
        <f t="shared" si="44"/>
        <v>594359.48133747315</v>
      </c>
      <c r="O76" s="84" t="s">
        <v>366</v>
      </c>
    </row>
    <row r="77" spans="1:15">
      <c r="B77" s="86"/>
      <c r="G77" s="101"/>
      <c r="H77" s="101"/>
      <c r="I77" s="101"/>
      <c r="J77" s="102"/>
      <c r="K77" s="102"/>
      <c r="L77" s="102"/>
      <c r="M77" s="102"/>
      <c r="N77" s="102"/>
    </row>
    <row r="78" spans="1:15">
      <c r="B78" s="86"/>
      <c r="G78" s="101"/>
      <c r="H78" s="101"/>
      <c r="I78" s="101"/>
      <c r="J78" s="102"/>
      <c r="K78" s="102"/>
      <c r="L78" s="102"/>
      <c r="M78" s="102"/>
      <c r="N78" s="102"/>
    </row>
    <row r="79" spans="1:15">
      <c r="A79" s="93" t="s">
        <v>182</v>
      </c>
      <c r="B79" s="86"/>
      <c r="G79" s="101"/>
      <c r="H79" s="101"/>
      <c r="I79" s="101"/>
      <c r="J79" s="102"/>
      <c r="K79" s="102"/>
      <c r="L79" s="102"/>
      <c r="M79" s="102"/>
      <c r="N79" s="102"/>
    </row>
    <row r="80" spans="1:15" s="112" customFormat="1">
      <c r="A80" s="73"/>
      <c r="B80" s="112" t="s">
        <v>127</v>
      </c>
      <c r="C80" s="91" t="s">
        <v>254</v>
      </c>
      <c r="G80" s="114">
        <f t="shared" ref="G80:N80" si="45">forecast_mpf*1000000</f>
        <v>2223000.0000000009</v>
      </c>
      <c r="H80" s="114">
        <f t="shared" si="45"/>
        <v>3789000.0000000005</v>
      </c>
      <c r="I80" s="114">
        <f t="shared" si="45"/>
        <v>4962000</v>
      </c>
      <c r="J80" s="114">
        <f t="shared" si="45"/>
        <v>5858509.9541638503</v>
      </c>
      <c r="K80" s="114">
        <f t="shared" si="45"/>
        <v>6710041.5967639163</v>
      </c>
      <c r="L80" s="114">
        <f t="shared" si="45"/>
        <v>7552373.0115855848</v>
      </c>
      <c r="M80" s="114">
        <f t="shared" si="45"/>
        <v>8340404.281728372</v>
      </c>
      <c r="N80" s="114">
        <f t="shared" si="45"/>
        <v>9093603.3348024506</v>
      </c>
      <c r="O80" s="65"/>
    </row>
    <row r="81" spans="1:15">
      <c r="A81" s="112"/>
      <c r="G81" s="101"/>
      <c r="H81" s="101"/>
      <c r="I81" s="101"/>
      <c r="J81" s="101"/>
      <c r="K81" s="102"/>
      <c r="L81" s="102"/>
      <c r="M81" s="102"/>
      <c r="N81" s="102"/>
    </row>
    <row r="82" spans="1:15">
      <c r="G82" s="101"/>
      <c r="H82" s="101"/>
      <c r="I82" s="101"/>
      <c r="J82" s="101"/>
      <c r="K82" s="102"/>
      <c r="L82" s="102"/>
      <c r="M82" s="102"/>
      <c r="N82" s="102"/>
    </row>
    <row r="83" spans="1:15">
      <c r="B83" s="86" t="s">
        <v>123</v>
      </c>
      <c r="G83" s="116">
        <f>Inputs!G44</f>
        <v>44000</v>
      </c>
      <c r="H83" s="116">
        <f>Inputs!H44</f>
        <v>626000</v>
      </c>
      <c r="I83" s="116">
        <f>Inputs!I44</f>
        <v>1204000</v>
      </c>
      <c r="J83" s="116"/>
      <c r="K83" s="102"/>
      <c r="L83" s="102"/>
      <c r="M83" s="102"/>
      <c r="N83" s="101"/>
    </row>
    <row r="84" spans="1:15">
      <c r="B84" s="86" t="s">
        <v>301</v>
      </c>
      <c r="G84" s="106">
        <f>G83/G$80</f>
        <v>1.9793072424651365E-2</v>
      </c>
      <c r="H84" s="106">
        <f>H83/H$80</f>
        <v>0.16521509633148587</v>
      </c>
      <c r="I84" s="106">
        <f>I83/I$80</f>
        <v>0.24264409512293431</v>
      </c>
      <c r="J84" s="117"/>
      <c r="K84" s="117"/>
      <c r="L84" s="117"/>
      <c r="M84" s="117"/>
      <c r="N84" s="117"/>
      <c r="O84" s="84"/>
    </row>
    <row r="85" spans="1:15">
      <c r="B85" s="13" t="s">
        <v>304</v>
      </c>
      <c r="C85" s="91" t="s">
        <v>189</v>
      </c>
      <c r="G85" s="108">
        <f>G83</f>
        <v>44000</v>
      </c>
      <c r="H85" s="108">
        <f>H83</f>
        <v>626000</v>
      </c>
      <c r="I85" s="108">
        <f>I83</f>
        <v>1204000</v>
      </c>
      <c r="J85" s="108">
        <f>mpf_rentals_total*$I$84</f>
        <v>1421532.8465967907</v>
      </c>
      <c r="K85" s="108">
        <f>mpf_rentals_total*$I$84</f>
        <v>1628151.9714840297</v>
      </c>
      <c r="L85" s="108">
        <f>mpf_rentals_total*$I$84</f>
        <v>1832538.7154270546</v>
      </c>
      <c r="M85" s="108">
        <f>mpf_rentals_total*$I$84</f>
        <v>2023749.8498994277</v>
      </c>
      <c r="N85" s="108">
        <f>mpf_rentals_total*$I$84</f>
        <v>2206509.1525800386</v>
      </c>
      <c r="O85" s="84" t="s">
        <v>305</v>
      </c>
    </row>
    <row r="86" spans="1:15">
      <c r="B86" s="115"/>
      <c r="G86" s="101"/>
      <c r="H86" s="101"/>
      <c r="I86" s="101"/>
      <c r="J86" s="102"/>
      <c r="K86" s="102"/>
      <c r="L86" s="102"/>
      <c r="M86" s="102"/>
      <c r="N86" s="102"/>
    </row>
    <row r="87" spans="1:15">
      <c r="A87" s="110"/>
      <c r="B87" s="115"/>
      <c r="G87" s="101"/>
      <c r="H87" s="101"/>
      <c r="I87" s="101"/>
      <c r="J87" s="102"/>
      <c r="K87" s="102"/>
      <c r="L87" s="102"/>
      <c r="M87" s="102"/>
      <c r="N87" s="102"/>
    </row>
    <row r="88" spans="1:15">
      <c r="A88" s="110"/>
      <c r="B88" s="110" t="s">
        <v>124</v>
      </c>
      <c r="G88" s="116">
        <f>Inputs!G45</f>
        <v>956000</v>
      </c>
      <c r="H88" s="116">
        <f>Inputs!H45</f>
        <v>1224000</v>
      </c>
      <c r="I88" s="116">
        <f>Inputs!I45</f>
        <v>768000</v>
      </c>
      <c r="J88" s="102"/>
      <c r="K88" s="102"/>
      <c r="L88" s="102"/>
      <c r="M88" s="102"/>
      <c r="N88" s="102"/>
    </row>
    <row r="89" spans="1:15">
      <c r="A89" s="110"/>
      <c r="B89" s="86" t="s">
        <v>301</v>
      </c>
      <c r="G89" s="106">
        <f>G88/(G$80+G$123)</f>
        <v>6.6797093348239245E-2</v>
      </c>
      <c r="H89" s="106">
        <f>H88/(H$80+H$123)</f>
        <v>8.1561937762377551E-2</v>
      </c>
      <c r="I89" s="106">
        <f>I88/(I$80+I$123)</f>
        <v>4.8589143363279769E-2</v>
      </c>
      <c r="J89" s="106"/>
      <c r="K89" s="106"/>
      <c r="L89" s="106"/>
      <c r="M89" s="106"/>
      <c r="N89" s="106"/>
      <c r="O89" s="84"/>
    </row>
    <row r="90" spans="1:15">
      <c r="A90" s="110"/>
      <c r="B90" s="13" t="s">
        <v>304</v>
      </c>
      <c r="C90" s="91" t="s">
        <v>190</v>
      </c>
      <c r="G90" s="108">
        <f>G88</f>
        <v>956000</v>
      </c>
      <c r="H90" s="108">
        <f>H88</f>
        <v>1224000</v>
      </c>
      <c r="I90" s="108">
        <f>I88</f>
        <v>768000</v>
      </c>
      <c r="J90" s="108">
        <f>$I$89*(mpf_rentals_total+SMPF_rentals_total)</f>
        <v>823638.95150585298</v>
      </c>
      <c r="K90" s="108">
        <f>$I$89*(mpf_rentals_total+SMPF_rentals_total)</f>
        <v>857751.39979801059</v>
      </c>
      <c r="L90" s="108">
        <f>$I$89*(mpf_rentals_total+SMPF_rentals_total)</f>
        <v>890950.27200153994</v>
      </c>
      <c r="M90" s="108">
        <f>$I$89*(mpf_rentals_total+SMPF_rentals_total)</f>
        <v>918757.17837742227</v>
      </c>
      <c r="N90" s="108">
        <f>$I$89*(mpf_rentals_total+SMPF_rentals_total)</f>
        <v>943105.27032018744</v>
      </c>
      <c r="O90" s="84" t="s">
        <v>305</v>
      </c>
    </row>
    <row r="91" spans="1:15">
      <c r="A91" s="110"/>
      <c r="B91" s="110"/>
      <c r="G91" s="101"/>
      <c r="H91" s="101"/>
      <c r="I91" s="101"/>
      <c r="J91" s="102"/>
      <c r="K91" s="102"/>
      <c r="L91" s="102"/>
      <c r="M91" s="102"/>
      <c r="N91" s="102"/>
    </row>
    <row r="92" spans="1:15">
      <c r="A92" s="110"/>
      <c r="B92" s="110"/>
      <c r="G92" s="101"/>
      <c r="H92" s="101"/>
      <c r="I92" s="101"/>
      <c r="J92" s="102"/>
      <c r="K92" s="102"/>
      <c r="L92" s="102"/>
      <c r="M92" s="102"/>
      <c r="N92" s="102"/>
    </row>
    <row r="93" spans="1:15">
      <c r="A93" s="110"/>
      <c r="B93" s="110" t="s">
        <v>125</v>
      </c>
      <c r="G93" s="116">
        <f>Inputs!G46</f>
        <v>621000</v>
      </c>
      <c r="H93" s="116">
        <f>Inputs!H46</f>
        <v>103000</v>
      </c>
      <c r="I93" s="116">
        <f>Inputs!I46</f>
        <v>410000</v>
      </c>
      <c r="J93" s="102"/>
      <c r="K93" s="102"/>
      <c r="L93" s="102"/>
      <c r="M93" s="102"/>
      <c r="N93" s="102"/>
    </row>
    <row r="94" spans="1:15">
      <c r="A94" s="110"/>
      <c r="B94" s="86" t="s">
        <v>301</v>
      </c>
      <c r="G94" s="106">
        <f>G93/(G$80+G$123)</f>
        <v>4.3390162101732813E-2</v>
      </c>
      <c r="H94" s="106">
        <f>H93/(H$80+H$123)</f>
        <v>6.8634637169320981E-3</v>
      </c>
      <c r="I94" s="106">
        <f>I93/(I$80+I$123)</f>
        <v>2.5939516639250919E-2</v>
      </c>
      <c r="J94" s="92"/>
      <c r="K94" s="92"/>
      <c r="L94" s="92"/>
      <c r="M94" s="92"/>
      <c r="N94" s="92"/>
      <c r="O94" s="84"/>
    </row>
    <row r="95" spans="1:15">
      <c r="A95" s="110"/>
      <c r="B95" s="13" t="s">
        <v>304</v>
      </c>
      <c r="C95" s="91" t="s">
        <v>191</v>
      </c>
      <c r="G95" s="108">
        <f>G93</f>
        <v>621000</v>
      </c>
      <c r="H95" s="108">
        <f>H93</f>
        <v>103000</v>
      </c>
      <c r="I95" s="108">
        <f>I93</f>
        <v>410000</v>
      </c>
      <c r="J95" s="108">
        <f>('Rental Forecasts'!I93-'Rental Forecasts'!J93)*1000000</f>
        <v>493999.99999999977</v>
      </c>
      <c r="K95" s="108">
        <f>('Rental Forecasts'!J93-'Rental Forecasts'!K93)*1000000</f>
        <v>508000</v>
      </c>
      <c r="L95" s="108">
        <f>('Rental Forecasts'!K93-'Rental Forecasts'!L93)*1000000</f>
        <v>508000</v>
      </c>
      <c r="M95" s="108">
        <f>('Rental Forecasts'!L93-'Rental Forecasts'!M93)*1000000</f>
        <v>508000</v>
      </c>
      <c r="N95" s="108">
        <f>('Rental Forecasts'!M93-'Rental Forecasts'!N93)*1000000</f>
        <v>508000</v>
      </c>
      <c r="O95" s="84" t="s">
        <v>323</v>
      </c>
    </row>
    <row r="96" spans="1:15">
      <c r="B96" s="110"/>
      <c r="G96" s="101"/>
      <c r="H96" s="149"/>
      <c r="I96" s="149"/>
      <c r="J96" s="149"/>
      <c r="K96" s="102"/>
      <c r="L96" s="102"/>
      <c r="M96" s="102"/>
      <c r="N96" s="102"/>
      <c r="O96" s="65"/>
    </row>
    <row r="97" spans="1:15">
      <c r="B97" s="110"/>
      <c r="G97" s="101"/>
      <c r="H97" s="101"/>
      <c r="I97" s="101"/>
      <c r="J97" s="102"/>
      <c r="K97" s="102"/>
      <c r="L97" s="102"/>
      <c r="M97" s="102"/>
      <c r="N97" s="102"/>
    </row>
    <row r="98" spans="1:15">
      <c r="B98" s="73" t="s">
        <v>126</v>
      </c>
      <c r="G98" s="116">
        <f>Inputs!G47</f>
        <v>447000</v>
      </c>
      <c r="H98" s="116">
        <f>Inputs!H47</f>
        <v>968000</v>
      </c>
      <c r="I98" s="116">
        <f>Inputs!I47</f>
        <v>1170000</v>
      </c>
      <c r="J98" s="102"/>
      <c r="K98" s="102"/>
      <c r="L98" s="102"/>
      <c r="M98" s="102"/>
      <c r="N98" s="102"/>
    </row>
    <row r="99" spans="1:15">
      <c r="B99" s="86" t="s">
        <v>301</v>
      </c>
      <c r="G99" s="106">
        <f>G98/G$80</f>
        <v>0.20107962213225364</v>
      </c>
      <c r="H99" s="106">
        <f>H98/H$80</f>
        <v>0.25547637899181841</v>
      </c>
      <c r="I99" s="106">
        <f>I98/I$80</f>
        <v>0.23579201934703747</v>
      </c>
      <c r="J99" s="106"/>
      <c r="K99" s="106"/>
      <c r="L99" s="106"/>
      <c r="M99" s="106"/>
      <c r="N99" s="106"/>
      <c r="O99" s="84"/>
    </row>
    <row r="100" spans="1:15">
      <c r="B100" s="13" t="s">
        <v>304</v>
      </c>
      <c r="C100" s="91" t="s">
        <v>192</v>
      </c>
      <c r="G100" s="108">
        <f>G98</f>
        <v>447000</v>
      </c>
      <c r="H100" s="108">
        <f t="shared" ref="H100:I100" si="46">H98</f>
        <v>968000</v>
      </c>
      <c r="I100" s="108">
        <f t="shared" si="46"/>
        <v>1170000</v>
      </c>
      <c r="J100" s="108">
        <f>AVERAGE($G$99:$I$99)*J80</f>
        <v>1352042.5898918773</v>
      </c>
      <c r="K100" s="108">
        <f>AVERAGE($G$99:$I$99)*K80</f>
        <v>1548561.3389327666</v>
      </c>
      <c r="L100" s="108">
        <f>AVERAGE($G$99:$I$99)*L80</f>
        <v>1742956.8348102369</v>
      </c>
      <c r="M100" s="108">
        <f>AVERAGE($G$99:$I$99)*M80</f>
        <v>1924820.7981278014</v>
      </c>
      <c r="N100" s="108">
        <f>AVERAGE($G$99:$I$99)*N80</f>
        <v>2098646.0892666522</v>
      </c>
      <c r="O100" s="84" t="s">
        <v>252</v>
      </c>
    </row>
    <row r="101" spans="1:15">
      <c r="G101" s="101"/>
      <c r="J101" s="101"/>
      <c r="K101" s="101"/>
      <c r="L101" s="102"/>
      <c r="M101" s="102"/>
      <c r="N101" s="102"/>
    </row>
    <row r="102" spans="1:15">
      <c r="A102" s="65"/>
      <c r="G102" s="101"/>
      <c r="J102" s="101"/>
      <c r="K102" s="101"/>
      <c r="L102" s="102"/>
      <c r="M102" s="102"/>
      <c r="N102" s="102"/>
    </row>
    <row r="103" spans="1:15">
      <c r="B103" s="231" t="s">
        <v>368</v>
      </c>
      <c r="G103" s="228"/>
      <c r="H103" s="228">
        <f>Inputs!H48</f>
        <v>151000</v>
      </c>
      <c r="I103" s="228">
        <f>Inputs!I48</f>
        <v>367000</v>
      </c>
      <c r="J103" s="228"/>
      <c r="K103" s="228"/>
      <c r="L103" s="228"/>
      <c r="M103" s="228"/>
      <c r="N103" s="228"/>
    </row>
    <row r="104" spans="1:15">
      <c r="B104" s="217" t="s">
        <v>353</v>
      </c>
      <c r="G104" s="154">
        <f t="shared" ref="G104:N104" si="47">G100</f>
        <v>447000</v>
      </c>
      <c r="H104" s="154">
        <f t="shared" si="47"/>
        <v>968000</v>
      </c>
      <c r="I104" s="154">
        <f t="shared" si="47"/>
        <v>1170000</v>
      </c>
      <c r="J104" s="154">
        <f t="shared" si="47"/>
        <v>1352042.5898918773</v>
      </c>
      <c r="K104" s="154">
        <f t="shared" si="47"/>
        <v>1548561.3389327666</v>
      </c>
      <c r="L104" s="154">
        <f t="shared" si="47"/>
        <v>1742956.8348102369</v>
      </c>
      <c r="M104" s="154">
        <f t="shared" si="47"/>
        <v>1924820.7981278014</v>
      </c>
      <c r="N104" s="154">
        <f t="shared" si="47"/>
        <v>2098646.0892666522</v>
      </c>
    </row>
    <row r="105" spans="1:15">
      <c r="B105" s="217" t="s">
        <v>354</v>
      </c>
      <c r="G105" s="229">
        <f>AVERAGE($H$105:$I$105)</f>
        <v>0.23483347460620188</v>
      </c>
      <c r="H105" s="229">
        <f>H103/H104</f>
        <v>0.15599173553719009</v>
      </c>
      <c r="I105" s="229">
        <f t="shared" ref="I105" si="48">I103/I104</f>
        <v>0.31367521367521367</v>
      </c>
      <c r="J105" s="229">
        <f>AVERAGE(H105:I105)</f>
        <v>0.23483347460620188</v>
      </c>
      <c r="K105" s="229">
        <f>J105</f>
        <v>0.23483347460620188</v>
      </c>
      <c r="L105" s="229">
        <f>K105</f>
        <v>0.23483347460620188</v>
      </c>
      <c r="M105" s="229">
        <f>L105</f>
        <v>0.23483347460620188</v>
      </c>
      <c r="N105" s="229">
        <f>M105</f>
        <v>0.23483347460620188</v>
      </c>
      <c r="O105" s="84" t="s">
        <v>355</v>
      </c>
    </row>
    <row r="106" spans="1:15">
      <c r="B106" s="217" t="s">
        <v>356</v>
      </c>
      <c r="C106" s="91" t="s">
        <v>362</v>
      </c>
      <c r="G106" s="108">
        <f>G104*G105</f>
        <v>104970.56314897224</v>
      </c>
      <c r="H106" s="108">
        <f>H104*H105</f>
        <v>151000</v>
      </c>
      <c r="I106" s="108">
        <f>I104*I105</f>
        <v>367000</v>
      </c>
      <c r="J106" s="108">
        <f t="shared" ref="J106:N106" si="49">J104*J105</f>
        <v>317504.8591998776</v>
      </c>
      <c r="K106" s="108">
        <f t="shared" si="49"/>
        <v>363654.03986241383</v>
      </c>
      <c r="L106" s="108">
        <f t="shared" si="49"/>
        <v>409304.6096071158</v>
      </c>
      <c r="M106" s="108">
        <f t="shared" si="49"/>
        <v>452012.35601863428</v>
      </c>
      <c r="N106" s="108">
        <f t="shared" si="49"/>
        <v>492832.35311120527</v>
      </c>
    </row>
    <row r="107" spans="1:15">
      <c r="B107" s="217" t="s">
        <v>357</v>
      </c>
      <c r="C107" s="91" t="s">
        <v>363</v>
      </c>
      <c r="G107" s="108">
        <f>G104-G106</f>
        <v>342029.43685102777</v>
      </c>
      <c r="H107" s="108">
        <f t="shared" ref="H107:N107" si="50">H104-H106</f>
        <v>817000</v>
      </c>
      <c r="I107" s="108">
        <f t="shared" si="50"/>
        <v>803000</v>
      </c>
      <c r="J107" s="108">
        <f>J104-J106</f>
        <v>1034537.7306919997</v>
      </c>
      <c r="K107" s="108">
        <f t="shared" si="50"/>
        <v>1184907.2990703527</v>
      </c>
      <c r="L107" s="108">
        <f t="shared" si="50"/>
        <v>1333652.2252031211</v>
      </c>
      <c r="M107" s="108">
        <f t="shared" si="50"/>
        <v>1472808.4421091671</v>
      </c>
      <c r="N107" s="108">
        <f t="shared" si="50"/>
        <v>1605813.7361554471</v>
      </c>
    </row>
    <row r="108" spans="1:15">
      <c r="B108" s="230"/>
    </row>
    <row r="109" spans="1:15">
      <c r="B109" s="230"/>
    </row>
    <row r="110" spans="1:15">
      <c r="A110" s="65"/>
      <c r="B110" s="73" t="s">
        <v>128</v>
      </c>
      <c r="G110" s="116">
        <f>Inputs!G49</f>
        <v>600</v>
      </c>
      <c r="H110" s="116">
        <f>Inputs!H49</f>
        <v>1500</v>
      </c>
      <c r="I110" s="116">
        <f>Inputs!I49</f>
        <v>1500</v>
      </c>
      <c r="J110" s="102"/>
      <c r="K110" s="102"/>
      <c r="L110" s="102"/>
      <c r="M110" s="102"/>
      <c r="N110" s="102"/>
    </row>
    <row r="111" spans="1:15">
      <c r="A111" s="65"/>
      <c r="B111" s="13" t="s">
        <v>304</v>
      </c>
      <c r="C111" s="91" t="s">
        <v>193</v>
      </c>
      <c r="G111" s="108">
        <f>Inputs!G49</f>
        <v>600</v>
      </c>
      <c r="H111" s="108">
        <f>Inputs!H49</f>
        <v>1500</v>
      </c>
      <c r="I111" s="108">
        <f>Inputs!I49</f>
        <v>1500</v>
      </c>
      <c r="J111" s="108">
        <v>1700</v>
      </c>
      <c r="K111" s="108">
        <v>1600</v>
      </c>
      <c r="L111" s="108">
        <v>600</v>
      </c>
      <c r="M111" s="108">
        <v>500</v>
      </c>
      <c r="N111" s="108">
        <v>300</v>
      </c>
      <c r="O111" s="55" t="s">
        <v>322</v>
      </c>
    </row>
    <row r="112" spans="1:15">
      <c r="G112" s="101"/>
      <c r="H112" s="101"/>
      <c r="I112" s="101"/>
      <c r="J112" s="102"/>
      <c r="K112" s="102"/>
      <c r="L112" s="102"/>
      <c r="M112" s="102"/>
      <c r="N112" s="102"/>
    </row>
    <row r="113" spans="1:15">
      <c r="G113" s="101"/>
      <c r="H113" s="101"/>
      <c r="I113" s="101"/>
      <c r="J113" s="102"/>
      <c r="K113" s="102"/>
      <c r="L113" s="102"/>
      <c r="M113" s="102"/>
      <c r="N113" s="102"/>
    </row>
    <row r="114" spans="1:15">
      <c r="B114" s="73" t="s">
        <v>129</v>
      </c>
      <c r="G114" s="116">
        <f>Inputs!G50</f>
        <v>10000</v>
      </c>
      <c r="H114" s="116">
        <f>Inputs!H50</f>
        <v>13000</v>
      </c>
      <c r="I114" s="116">
        <f>Inputs!I50</f>
        <v>13000</v>
      </c>
      <c r="J114" s="102"/>
      <c r="K114" s="102"/>
      <c r="L114" s="102"/>
      <c r="M114" s="102"/>
      <c r="N114" s="102"/>
    </row>
    <row r="115" spans="1:15">
      <c r="B115" s="13" t="s">
        <v>304</v>
      </c>
      <c r="C115" s="91" t="s">
        <v>194</v>
      </c>
      <c r="G115" s="108">
        <f>G114</f>
        <v>10000</v>
      </c>
      <c r="H115" s="108">
        <f t="shared" ref="H115:I115" si="51">H114</f>
        <v>13000</v>
      </c>
      <c r="I115" s="108">
        <f t="shared" si="51"/>
        <v>13000</v>
      </c>
      <c r="J115" s="108">
        <f>I115</f>
        <v>13000</v>
      </c>
      <c r="K115" s="108">
        <f t="shared" ref="K115:N115" si="52">J115</f>
        <v>13000</v>
      </c>
      <c r="L115" s="108">
        <f t="shared" si="52"/>
        <v>13000</v>
      </c>
      <c r="M115" s="108">
        <f t="shared" si="52"/>
        <v>13000</v>
      </c>
      <c r="N115" s="108">
        <f t="shared" si="52"/>
        <v>13000</v>
      </c>
      <c r="O115" s="56" t="s">
        <v>324</v>
      </c>
    </row>
    <row r="116" spans="1:15">
      <c r="G116" s="101"/>
      <c r="H116" s="101"/>
      <c r="I116" s="101"/>
      <c r="J116" s="102"/>
      <c r="K116" s="102"/>
      <c r="L116" s="102"/>
      <c r="M116" s="102"/>
      <c r="N116" s="102"/>
    </row>
    <row r="117" spans="1:15">
      <c r="C117" s="65"/>
      <c r="G117" s="101"/>
      <c r="H117" s="101"/>
      <c r="J117" s="102"/>
      <c r="K117" s="102"/>
      <c r="L117" s="102"/>
      <c r="M117" s="102"/>
      <c r="N117" s="102"/>
    </row>
    <row r="118" spans="1:15" s="65" customFormat="1">
      <c r="B118" s="65" t="s">
        <v>130</v>
      </c>
      <c r="C118" s="91"/>
      <c r="G118" s="92"/>
      <c r="H118" s="92"/>
      <c r="I118" s="116">
        <f>Inputs!I51</f>
        <v>930000</v>
      </c>
      <c r="J118" s="92"/>
      <c r="K118" s="92"/>
      <c r="L118" s="92"/>
      <c r="M118" s="92"/>
      <c r="N118" s="92"/>
    </row>
    <row r="119" spans="1:15">
      <c r="B119" s="13" t="s">
        <v>304</v>
      </c>
      <c r="C119" s="91" t="s">
        <v>195</v>
      </c>
      <c r="F119" s="86" t="s">
        <v>33</v>
      </c>
      <c r="G119" s="108">
        <v>0</v>
      </c>
      <c r="H119" s="108">
        <v>0</v>
      </c>
      <c r="I119" s="108">
        <f>I118</f>
        <v>930000</v>
      </c>
      <c r="J119" s="108">
        <f>(2*J123+J80)/((2*$I$123+$I$80)/$I$119)</f>
        <v>978634.65290273319</v>
      </c>
      <c r="K119" s="108">
        <f>(2*K123+K80)/((2*$I$123+$I$80)/$I$119)</f>
        <v>997918.15845904767</v>
      </c>
      <c r="L119" s="108">
        <f>(2*L123+L80)/((2*$I$123+$I$80)/$I$119)</f>
        <v>1016210.4586275556</v>
      </c>
      <c r="M119" s="108">
        <f>(2*M123+M80)/((2*$I$123+$I$80)/$I$119)</f>
        <v>1028652.6214667714</v>
      </c>
      <c r="N119" s="108">
        <f>(2*N123+N80)/((2*$I$123+$I$80)/$I$119)</f>
        <v>1037342.0640408621</v>
      </c>
      <c r="O119" s="84" t="s">
        <v>306</v>
      </c>
    </row>
    <row r="120" spans="1:15" s="65" customFormat="1">
      <c r="B120" s="92"/>
      <c r="G120" s="92"/>
      <c r="H120" s="92"/>
      <c r="I120" s="92"/>
      <c r="J120" s="92"/>
      <c r="K120" s="92"/>
      <c r="L120" s="92"/>
      <c r="M120" s="92"/>
      <c r="N120" s="92"/>
    </row>
    <row r="121" spans="1:15">
      <c r="G121" s="101"/>
      <c r="H121" s="101"/>
      <c r="I121" s="158"/>
      <c r="J121" s="101"/>
      <c r="K121" s="101"/>
      <c r="L121" s="101"/>
      <c r="M121" s="101"/>
      <c r="N121" s="101"/>
    </row>
    <row r="122" spans="1:15">
      <c r="A122" s="93" t="s">
        <v>183</v>
      </c>
      <c r="G122" s="101"/>
      <c r="H122" s="101"/>
      <c r="I122" s="150"/>
      <c r="J122" s="102"/>
      <c r="K122" s="102"/>
      <c r="L122" s="102"/>
      <c r="M122" s="102"/>
      <c r="N122" s="102"/>
    </row>
    <row r="123" spans="1:15" s="112" customFormat="1">
      <c r="A123" s="73"/>
      <c r="B123" s="112" t="s">
        <v>135</v>
      </c>
      <c r="C123" s="91" t="s">
        <v>255</v>
      </c>
      <c r="G123" s="114">
        <f>Inputs!G28*1000000</f>
        <v>12089000</v>
      </c>
      <c r="H123" s="114">
        <f>Inputs!H28*1000000</f>
        <v>11218000</v>
      </c>
      <c r="I123" s="114">
        <f>Inputs!I28*1000000</f>
        <v>10844000</v>
      </c>
      <c r="J123" s="114">
        <f>forecast_smpf*1000000</f>
        <v>11092580.237895409</v>
      </c>
      <c r="K123" s="114">
        <f>forecast_smpf*1000000</f>
        <v>10943107.65480816</v>
      </c>
      <c r="L123" s="114">
        <f>forecast_smpf*1000000</f>
        <v>10784033.237446109</v>
      </c>
      <c r="M123" s="114">
        <f>forecast_smpf*1000000</f>
        <v>10568288.376388211</v>
      </c>
      <c r="N123" s="114">
        <f>forecast_smpf*1000000</f>
        <v>10316190.809313279</v>
      </c>
      <c r="O123" s="65"/>
    </row>
    <row r="124" spans="1:15">
      <c r="G124" s="101"/>
      <c r="H124" s="101"/>
      <c r="I124" s="101"/>
      <c r="J124" s="102"/>
      <c r="K124" s="102"/>
      <c r="L124" s="102"/>
      <c r="M124" s="102"/>
      <c r="N124" s="102"/>
    </row>
    <row r="125" spans="1:15">
      <c r="G125" s="101"/>
      <c r="H125" s="101"/>
      <c r="I125" s="101"/>
      <c r="J125" s="102"/>
      <c r="K125" s="102"/>
      <c r="L125" s="102"/>
      <c r="M125" s="102"/>
      <c r="N125" s="102"/>
    </row>
    <row r="126" spans="1:15">
      <c r="B126" s="86" t="s">
        <v>280</v>
      </c>
      <c r="G126" s="101">
        <f>'Rental Forecasts'!G93*1000000</f>
        <v>3945999.9999999995</v>
      </c>
      <c r="H126" s="101">
        <f>'Rental Forecasts'!H93*1000000</f>
        <v>3479999.9999999995</v>
      </c>
      <c r="I126" s="101">
        <f>'Rental Forecasts'!I93*1000000</f>
        <v>2929999.9999999995</v>
      </c>
      <c r="J126" s="101">
        <f>'Rental Forecasts'!J93*1000000</f>
        <v>2436000</v>
      </c>
      <c r="K126" s="101">
        <f>'Rental Forecasts'!K93*1000000</f>
        <v>1928000</v>
      </c>
      <c r="L126" s="101">
        <f>'Rental Forecasts'!L93*1000000</f>
        <v>1420000</v>
      </c>
      <c r="M126" s="101">
        <f>'Rental Forecasts'!M93*1000000</f>
        <v>911999.99999999988</v>
      </c>
      <c r="N126" s="101">
        <f>'Rental Forecasts'!N93*1000000</f>
        <v>403999.99999999994</v>
      </c>
    </row>
    <row r="127" spans="1:15">
      <c r="G127" s="101"/>
      <c r="H127" s="101"/>
      <c r="I127" s="101"/>
      <c r="J127" s="102"/>
      <c r="K127" s="102"/>
      <c r="L127" s="102"/>
      <c r="M127" s="102"/>
      <c r="N127" s="102"/>
    </row>
    <row r="128" spans="1:15">
      <c r="G128" s="101"/>
      <c r="H128" s="101"/>
      <c r="I128" s="101"/>
      <c r="J128" s="102"/>
      <c r="K128" s="102"/>
      <c r="L128" s="102"/>
      <c r="M128" s="102"/>
      <c r="N128" s="102"/>
    </row>
    <row r="129" spans="1:15">
      <c r="B129" s="86" t="s">
        <v>259</v>
      </c>
      <c r="D129" s="91"/>
      <c r="E129" s="153"/>
      <c r="G129" s="159">
        <f t="shared" ref="G129:N129" si="53">churn*2/3*mpf_rentals_total</f>
        <v>222300.00000000009</v>
      </c>
      <c r="H129" s="159">
        <f t="shared" si="53"/>
        <v>378900</v>
      </c>
      <c r="I129" s="159">
        <f t="shared" si="53"/>
        <v>496199.99999999994</v>
      </c>
      <c r="J129" s="159">
        <f>churn*2/3*mpf_rentals_total</f>
        <v>585850.99541638501</v>
      </c>
      <c r="K129" s="159">
        <f t="shared" si="53"/>
        <v>671004.15967639163</v>
      </c>
      <c r="L129" s="159">
        <f t="shared" si="53"/>
        <v>755237.30115855846</v>
      </c>
      <c r="M129" s="159">
        <f t="shared" si="53"/>
        <v>834040.42817283713</v>
      </c>
      <c r="N129" s="159">
        <f t="shared" si="53"/>
        <v>909360.33348024497</v>
      </c>
      <c r="O129" s="86"/>
    </row>
    <row r="130" spans="1:15">
      <c r="B130" s="86"/>
      <c r="E130" s="153"/>
      <c r="G130" s="159"/>
      <c r="H130" s="159"/>
      <c r="I130" s="159"/>
      <c r="J130" s="159"/>
      <c r="K130" s="159"/>
      <c r="L130" s="159"/>
      <c r="M130" s="159"/>
      <c r="N130" s="159"/>
    </row>
    <row r="131" spans="1:15">
      <c r="B131" s="86"/>
      <c r="E131" s="153"/>
      <c r="G131" s="159"/>
      <c r="H131" s="159"/>
      <c r="I131" s="159"/>
      <c r="J131" s="159"/>
      <c r="K131" s="159"/>
      <c r="L131" s="159"/>
      <c r="M131" s="159"/>
      <c r="N131" s="159"/>
    </row>
    <row r="132" spans="1:15">
      <c r="B132" s="86" t="s">
        <v>349</v>
      </c>
      <c r="C132" s="91" t="s">
        <v>377</v>
      </c>
      <c r="G132" s="108"/>
      <c r="H132" s="108"/>
      <c r="I132" s="108"/>
      <c r="J132" s="108">
        <f>J129</f>
        <v>585850.99541638501</v>
      </c>
      <c r="K132" s="108">
        <f>K129</f>
        <v>671004.15967639163</v>
      </c>
      <c r="L132" s="108">
        <f>L129</f>
        <v>755237.30115855846</v>
      </c>
      <c r="M132" s="108">
        <f>M129</f>
        <v>834040.42817283713</v>
      </c>
      <c r="N132" s="108">
        <f>N129</f>
        <v>909360.33348024497</v>
      </c>
      <c r="O132" s="84" t="s">
        <v>367</v>
      </c>
    </row>
    <row r="135" spans="1:15">
      <c r="B135" s="103" t="s">
        <v>131</v>
      </c>
      <c r="G135" s="116">
        <f>Inputs!G53</f>
        <v>3002000</v>
      </c>
      <c r="H135" s="116">
        <f>Inputs!H53</f>
        <v>2715000</v>
      </c>
      <c r="I135" s="116">
        <f>Inputs!I53</f>
        <v>2566000</v>
      </c>
      <c r="J135" s="102"/>
      <c r="K135" s="102"/>
      <c r="L135" s="102"/>
      <c r="M135" s="102"/>
      <c r="N135" s="102"/>
    </row>
    <row r="136" spans="1:15">
      <c r="B136" s="86" t="s">
        <v>301</v>
      </c>
      <c r="G136" s="106">
        <f>G135/G$123</f>
        <v>0.24832492348415916</v>
      </c>
      <c r="H136" s="106">
        <f t="shared" ref="H136" si="54">H135/H$123</f>
        <v>0.24202175075771082</v>
      </c>
      <c r="I136" s="106">
        <f>I135/I$123</f>
        <v>0.23662855035042421</v>
      </c>
      <c r="J136" s="106">
        <f>I136</f>
        <v>0.23662855035042421</v>
      </c>
      <c r="K136" s="106">
        <f t="shared" ref="K136:N136" si="55">J136</f>
        <v>0.23662855035042421</v>
      </c>
      <c r="L136" s="106">
        <f t="shared" si="55"/>
        <v>0.23662855035042421</v>
      </c>
      <c r="M136" s="106">
        <f t="shared" si="55"/>
        <v>0.23662855035042421</v>
      </c>
      <c r="N136" s="106">
        <f t="shared" si="55"/>
        <v>0.23662855035042421</v>
      </c>
      <c r="O136" s="84" t="s">
        <v>325</v>
      </c>
    </row>
    <row r="137" spans="1:15">
      <c r="B137" s="13" t="s">
        <v>304</v>
      </c>
      <c r="C137" s="91" t="s">
        <v>196</v>
      </c>
      <c r="G137" s="108">
        <f t="shared" ref="G137:N137" si="56">G$136*SMPF_rentals_total-G132</f>
        <v>3002000</v>
      </c>
      <c r="H137" s="108">
        <f t="shared" si="56"/>
        <v>2715000</v>
      </c>
      <c r="I137" s="108">
        <f t="shared" si="56"/>
        <v>2566000</v>
      </c>
      <c r="J137" s="108">
        <f t="shared" si="56"/>
        <v>2038970.1859225691</v>
      </c>
      <c r="K137" s="108">
        <f t="shared" si="56"/>
        <v>1918447.5410094936</v>
      </c>
      <c r="L137" s="108">
        <f t="shared" si="56"/>
        <v>1796572.8507491061</v>
      </c>
      <c r="M137" s="108">
        <f t="shared" si="56"/>
        <v>1666718.3300171439</v>
      </c>
      <c r="N137" s="108">
        <f t="shared" si="56"/>
        <v>1531744.9428659258</v>
      </c>
      <c r="O137" s="84"/>
    </row>
    <row r="138" spans="1:15" s="65" customFormat="1">
      <c r="B138" s="92"/>
      <c r="C138" s="91"/>
      <c r="G138" s="92"/>
      <c r="H138" s="92"/>
      <c r="I138" s="92"/>
      <c r="J138" s="92"/>
      <c r="K138" s="92"/>
      <c r="L138" s="92"/>
      <c r="M138" s="92"/>
      <c r="N138" s="92"/>
    </row>
    <row r="139" spans="1:15">
      <c r="A139" s="110"/>
      <c r="B139" s="103"/>
      <c r="G139" s="101"/>
      <c r="H139" s="101"/>
      <c r="I139" s="101"/>
      <c r="J139" s="102"/>
      <c r="K139" s="102"/>
      <c r="L139" s="102"/>
      <c r="M139" s="102"/>
      <c r="N139" s="102"/>
    </row>
    <row r="140" spans="1:15">
      <c r="B140" s="86" t="s">
        <v>373</v>
      </c>
      <c r="E140" s="90"/>
    </row>
    <row r="141" spans="1:15">
      <c r="B141" s="227" t="s">
        <v>351</v>
      </c>
      <c r="J141" s="225">
        <f>'Rental Forecasts'!J76/'Rental Forecasts'!J102</f>
        <v>0.69402693987727127</v>
      </c>
      <c r="K141" s="225">
        <f>'Rental Forecasts'!K76/'Rental Forecasts'!K102</f>
        <v>0.71830302097332577</v>
      </c>
      <c r="L141" s="225">
        <f>'Rental Forecasts'!L76/'Rental Forecasts'!L102</f>
        <v>0.74211969361639052</v>
      </c>
      <c r="M141" s="225">
        <f>'Rental Forecasts'!M76/'Rental Forecasts'!M102</f>
        <v>0.76049293903562498</v>
      </c>
      <c r="N141" s="225">
        <f>'Rental Forecasts'!N76/'Rental Forecasts'!N102</f>
        <v>0.77560725105253892</v>
      </c>
    </row>
    <row r="142" spans="1:15">
      <c r="B142" s="217" t="s">
        <v>79</v>
      </c>
      <c r="C142" s="91" t="s">
        <v>372</v>
      </c>
      <c r="G142" s="108"/>
      <c r="H142" s="108"/>
      <c r="I142" s="226"/>
      <c r="J142" s="108">
        <f>(wlr_bci+wlr_pci+wlr_ce)*J141</f>
        <v>982050.78317551815</v>
      </c>
      <c r="K142" s="108">
        <f>(wlr_bci+wlr_pci+wlr_ce)*K141</f>
        <v>978101.2511346119</v>
      </c>
      <c r="L142" s="108">
        <f>(wlr_bci+wlr_pci+wlr_ce)*L141</f>
        <v>970352.79801811755</v>
      </c>
      <c r="M142" s="108">
        <f>(wlr_bci+wlr_pci+wlr_ce)*M141</f>
        <v>957718.69498491962</v>
      </c>
      <c r="N142" s="108">
        <f>(wlr_bci+wlr_pci+wlr_ce)*N141</f>
        <v>941778.56028541259</v>
      </c>
      <c r="O142" s="84" t="s">
        <v>350</v>
      </c>
    </row>
    <row r="143" spans="1:15">
      <c r="B143" s="13"/>
    </row>
    <row r="144" spans="1:15">
      <c r="B144" s="13"/>
    </row>
    <row r="145" spans="1:15">
      <c r="A145" s="86"/>
      <c r="B145" s="73" t="s">
        <v>132</v>
      </c>
      <c r="D145" s="86"/>
      <c r="E145" s="153"/>
      <c r="G145" s="116">
        <f>Inputs!G54</f>
        <v>324000</v>
      </c>
      <c r="H145" s="116">
        <f>Inputs!H54</f>
        <v>393000</v>
      </c>
      <c r="I145" s="116">
        <f>Inputs!I54</f>
        <v>312000</v>
      </c>
      <c r="J145" s="102"/>
      <c r="K145" s="102"/>
      <c r="L145" s="102"/>
      <c r="M145" s="102"/>
      <c r="N145" s="102"/>
    </row>
    <row r="146" spans="1:15">
      <c r="B146" s="86" t="s">
        <v>301</v>
      </c>
      <c r="G146" s="106">
        <f>G145/(SMPF_rentals_total+mpf_rentals_total)</f>
        <v>2.2638345444382337E-2</v>
      </c>
      <c r="H146" s="106">
        <f>H145/(SMPF_rentals_total+mpf_rentals_total)</f>
        <v>2.6187779036449657E-2</v>
      </c>
      <c r="I146" s="106">
        <f>I145/(SMPF_rentals_total+mpf_rentals_total)</f>
        <v>1.9739339491332407E-2</v>
      </c>
      <c r="J146" s="106"/>
      <c r="K146" s="106"/>
      <c r="L146" s="106"/>
      <c r="M146" s="106"/>
      <c r="N146" s="106"/>
      <c r="O146" s="84"/>
    </row>
    <row r="147" spans="1:15">
      <c r="B147" s="13" t="s">
        <v>304</v>
      </c>
      <c r="C147" s="91" t="s">
        <v>199</v>
      </c>
      <c r="E147" s="153"/>
      <c r="G147" s="108">
        <f>G145</f>
        <v>324000</v>
      </c>
      <c r="H147" s="108">
        <f t="shared" ref="H147" si="57">H145</f>
        <v>393000</v>
      </c>
      <c r="I147" s="108">
        <f>I145</f>
        <v>312000</v>
      </c>
      <c r="J147" s="108">
        <f>J$126*churn*2/3</f>
        <v>243600</v>
      </c>
      <c r="K147" s="108">
        <f>K$126*churn*2/3</f>
        <v>192800</v>
      </c>
      <c r="L147" s="108">
        <f>L$126*churn*2/3</f>
        <v>142000</v>
      </c>
      <c r="M147" s="108">
        <f>M$126*churn*2/3</f>
        <v>91199.999999999985</v>
      </c>
      <c r="N147" s="108">
        <f>N$126*churn*2/3</f>
        <v>40399.999999999993</v>
      </c>
      <c r="O147" s="56" t="s">
        <v>326</v>
      </c>
    </row>
    <row r="148" spans="1:15">
      <c r="G148" s="101"/>
      <c r="H148" s="101"/>
      <c r="I148" s="101"/>
      <c r="J148" s="102"/>
      <c r="K148" s="102"/>
      <c r="L148" s="102"/>
      <c r="M148" s="102"/>
      <c r="N148" s="102"/>
    </row>
    <row r="149" spans="1:15">
      <c r="G149" s="101"/>
      <c r="H149" s="101"/>
      <c r="I149" s="101"/>
      <c r="J149" s="102"/>
      <c r="K149" s="102"/>
      <c r="L149" s="102"/>
      <c r="M149" s="102"/>
      <c r="N149" s="102"/>
    </row>
    <row r="150" spans="1:15">
      <c r="B150" s="86" t="s">
        <v>133</v>
      </c>
      <c r="G150" s="116">
        <f>Inputs!G55</f>
        <v>103000</v>
      </c>
      <c r="H150" s="116">
        <f>Inputs!H55</f>
        <v>202000</v>
      </c>
      <c r="I150" s="116">
        <f>Inputs!I55</f>
        <v>398000</v>
      </c>
      <c r="J150" s="106"/>
      <c r="K150" s="102"/>
      <c r="L150" s="102"/>
      <c r="M150" s="102"/>
      <c r="N150" s="102"/>
    </row>
    <row r="151" spans="1:15">
      <c r="B151" s="86" t="s">
        <v>300</v>
      </c>
      <c r="G151" s="106"/>
      <c r="H151" s="106"/>
      <c r="I151" s="116">
        <v>281603</v>
      </c>
      <c r="J151" s="106"/>
      <c r="K151" s="106"/>
      <c r="L151" s="106"/>
      <c r="M151" s="106"/>
      <c r="N151" s="106"/>
      <c r="O151" s="84"/>
    </row>
    <row r="152" spans="1:15">
      <c r="B152" s="13" t="s">
        <v>304</v>
      </c>
      <c r="C152" s="91" t="s">
        <v>198</v>
      </c>
      <c r="E152" s="90">
        <v>0.3</v>
      </c>
      <c r="G152" s="108">
        <f>G150</f>
        <v>103000</v>
      </c>
      <c r="H152" s="108">
        <f>H150</f>
        <v>202000</v>
      </c>
      <c r="I152" s="108">
        <f>I150</f>
        <v>398000</v>
      </c>
      <c r="J152" s="108">
        <f>(I152-I151)*(1-$E$152)</f>
        <v>81477.899999999994</v>
      </c>
      <c r="K152" s="108">
        <f t="shared" ref="K152:N152" si="58">J152*(1-$E$152)</f>
        <v>57034.529999999992</v>
      </c>
      <c r="L152" s="108">
        <f t="shared" si="58"/>
        <v>39924.170999999995</v>
      </c>
      <c r="M152" s="108">
        <f t="shared" si="58"/>
        <v>27946.919699999995</v>
      </c>
      <c r="N152" s="108">
        <f t="shared" si="58"/>
        <v>19562.843789999995</v>
      </c>
      <c r="O152" s="84" t="str">
        <f>"Forecast based on reduction of "&amp;E152*100&amp;"% year on year"</f>
        <v>Forecast based on reduction of 30% year on year</v>
      </c>
    </row>
    <row r="154" spans="1:15">
      <c r="G154" s="101"/>
      <c r="H154" s="101"/>
      <c r="I154" s="101"/>
      <c r="J154" s="102"/>
      <c r="K154" s="102"/>
      <c r="L154" s="102"/>
      <c r="M154" s="102"/>
      <c r="N154" s="102"/>
    </row>
    <row r="155" spans="1:15">
      <c r="B155" s="73" t="s">
        <v>134</v>
      </c>
      <c r="G155" s="116">
        <f>Inputs!G56</f>
        <v>2675000</v>
      </c>
      <c r="H155" s="116">
        <f>Inputs!H56</f>
        <v>2115000</v>
      </c>
      <c r="I155" s="116">
        <f>Inputs!I56</f>
        <v>2235000</v>
      </c>
      <c r="J155" s="102"/>
      <c r="K155" s="102"/>
      <c r="L155" s="102"/>
      <c r="M155" s="102"/>
      <c r="N155" s="102"/>
    </row>
    <row r="156" spans="1:15">
      <c r="B156" s="86" t="s">
        <v>301</v>
      </c>
      <c r="G156" s="106">
        <f>G155/G$123</f>
        <v>0.22127553974687733</v>
      </c>
      <c r="H156" s="106">
        <f t="shared" ref="H156:I156" si="59">H155/H$123</f>
        <v>0.18853628097700126</v>
      </c>
      <c r="I156" s="106">
        <f t="shared" si="59"/>
        <v>0.20610475839173736</v>
      </c>
      <c r="J156" s="106"/>
      <c r="K156" s="106"/>
      <c r="L156" s="106"/>
      <c r="M156" s="106"/>
      <c r="N156" s="106"/>
      <c r="O156" s="84"/>
    </row>
    <row r="157" spans="1:15">
      <c r="B157" s="13" t="s">
        <v>304</v>
      </c>
      <c r="C157" s="91" t="s">
        <v>197</v>
      </c>
      <c r="G157" s="108">
        <f>G155</f>
        <v>2675000</v>
      </c>
      <c r="H157" s="108">
        <f>H155</f>
        <v>2115000</v>
      </c>
      <c r="I157" s="108">
        <f>I155</f>
        <v>2235000</v>
      </c>
      <c r="J157" s="108">
        <f>AVERAGE($G$156:$I$156)*SMPF_rentals_total</f>
        <v>2277368.0245633414</v>
      </c>
      <c r="K157" s="108">
        <f>AVERAGE($G$156:$I$156)*SMPF_rentals_total</f>
        <v>2246680.4772144505</v>
      </c>
      <c r="L157" s="108">
        <f>AVERAGE($G$156:$I$156)*SMPF_rentals_total</f>
        <v>2214021.6202256358</v>
      </c>
      <c r="M157" s="108">
        <f>AVERAGE($G$156:$I$156)*SMPF_rentals_total</f>
        <v>2169728.0079641179</v>
      </c>
      <c r="N157" s="108">
        <f>AVERAGE($G$156:$I$156)*SMPF_rentals_total</f>
        <v>2117970.9842587304</v>
      </c>
      <c r="O157" s="84" t="s">
        <v>252</v>
      </c>
    </row>
    <row r="158" spans="1:15">
      <c r="B158" s="87"/>
      <c r="C158" s="65"/>
      <c r="G158" s="92"/>
      <c r="H158" s="92"/>
      <c r="I158" s="92"/>
      <c r="J158" s="92"/>
      <c r="K158" s="92"/>
      <c r="L158" s="92"/>
      <c r="M158" s="92"/>
      <c r="N158" s="92"/>
    </row>
    <row r="159" spans="1:15" s="65" customFormat="1">
      <c r="A159" s="73"/>
      <c r="C159" s="91"/>
      <c r="G159" s="92"/>
      <c r="H159" s="92"/>
      <c r="I159" s="170"/>
      <c r="J159" s="92"/>
      <c r="K159" s="92"/>
      <c r="L159" s="92"/>
      <c r="M159" s="92"/>
      <c r="N159" s="92"/>
    </row>
    <row r="160" spans="1:15">
      <c r="B160" s="231" t="s">
        <v>369</v>
      </c>
      <c r="G160" s="228"/>
      <c r="H160" s="228">
        <f>Inputs!H57</f>
        <v>408000</v>
      </c>
      <c r="I160" s="228">
        <f>Inputs!I57</f>
        <v>483000</v>
      </c>
      <c r="J160" s="228"/>
      <c r="K160" s="228"/>
      <c r="L160" s="228"/>
      <c r="M160" s="228"/>
      <c r="N160" s="228"/>
    </row>
    <row r="161" spans="2:15">
      <c r="B161" s="217" t="s">
        <v>358</v>
      </c>
      <c r="G161" s="154">
        <f t="shared" ref="G161:N161" si="60">G157</f>
        <v>2675000</v>
      </c>
      <c r="H161" s="154">
        <f t="shared" si="60"/>
        <v>2115000</v>
      </c>
      <c r="I161" s="154">
        <f t="shared" si="60"/>
        <v>2235000</v>
      </c>
      <c r="J161" s="154">
        <f t="shared" si="60"/>
        <v>2277368.0245633414</v>
      </c>
      <c r="K161" s="154">
        <f t="shared" si="60"/>
        <v>2246680.4772144505</v>
      </c>
      <c r="L161" s="154">
        <f t="shared" si="60"/>
        <v>2214021.6202256358</v>
      </c>
      <c r="M161" s="154">
        <f t="shared" si="60"/>
        <v>2169728.0079641179</v>
      </c>
      <c r="N161" s="154">
        <f t="shared" si="60"/>
        <v>2117970.9842587304</v>
      </c>
    </row>
    <row r="162" spans="2:15">
      <c r="B162" s="217" t="s">
        <v>354</v>
      </c>
      <c r="G162" s="229">
        <f>AVERAGE($H$162:$I$162)</f>
        <v>0.20450759198438764</v>
      </c>
      <c r="H162" s="229">
        <f>H160/H161</f>
        <v>0.19290780141843972</v>
      </c>
      <c r="I162" s="229">
        <f t="shared" ref="I162" si="61">I160/I161</f>
        <v>0.21610738255033557</v>
      </c>
      <c r="J162" s="229">
        <f>AVERAGE(H162:I162)</f>
        <v>0.20450759198438764</v>
      </c>
      <c r="K162" s="229">
        <f>J162</f>
        <v>0.20450759198438764</v>
      </c>
      <c r="L162" s="229">
        <f t="shared" ref="L162:N162" si="62">K162</f>
        <v>0.20450759198438764</v>
      </c>
      <c r="M162" s="229">
        <f t="shared" si="62"/>
        <v>0.20450759198438764</v>
      </c>
      <c r="N162" s="229">
        <f t="shared" si="62"/>
        <v>0.20450759198438764</v>
      </c>
      <c r="O162" s="84" t="s">
        <v>355</v>
      </c>
    </row>
    <row r="163" spans="2:15">
      <c r="B163" s="217" t="s">
        <v>359</v>
      </c>
      <c r="C163" s="91" t="s">
        <v>364</v>
      </c>
      <c r="G163" s="108">
        <f>G161*G162</f>
        <v>547057.80855823692</v>
      </c>
      <c r="H163" s="108">
        <f t="shared" ref="H163:N163" si="63">H161*H162</f>
        <v>408000</v>
      </c>
      <c r="I163" s="108">
        <f t="shared" si="63"/>
        <v>483000</v>
      </c>
      <c r="J163" s="108">
        <f t="shared" si="63"/>
        <v>465739.05076569074</v>
      </c>
      <c r="K163" s="108">
        <f t="shared" si="63"/>
        <v>459463.21435346216</v>
      </c>
      <c r="L163" s="108">
        <f t="shared" si="63"/>
        <v>452784.23015371716</v>
      </c>
      <c r="M163" s="108">
        <f t="shared" si="63"/>
        <v>443725.85016982403</v>
      </c>
      <c r="N163" s="108">
        <f t="shared" si="63"/>
        <v>433141.14588355634</v>
      </c>
    </row>
    <row r="164" spans="2:15">
      <c r="B164" s="217" t="s">
        <v>360</v>
      </c>
      <c r="C164" s="91" t="s">
        <v>365</v>
      </c>
      <c r="G164" s="108">
        <f>G161-G163</f>
        <v>2127942.1914417632</v>
      </c>
      <c r="H164" s="108">
        <f t="shared" ref="H164:N164" si="64">H161-H163</f>
        <v>1707000</v>
      </c>
      <c r="I164" s="108">
        <f t="shared" si="64"/>
        <v>1752000</v>
      </c>
      <c r="J164" s="108">
        <f t="shared" si="64"/>
        <v>1811628.9737976505</v>
      </c>
      <c r="K164" s="108">
        <f t="shared" si="64"/>
        <v>1787217.2628609883</v>
      </c>
      <c r="L164" s="108">
        <f t="shared" si="64"/>
        <v>1761237.3900719187</v>
      </c>
      <c r="M164" s="108">
        <f t="shared" si="64"/>
        <v>1726002.1577942939</v>
      </c>
      <c r="N164" s="108">
        <f t="shared" si="64"/>
        <v>1684829.838375174</v>
      </c>
    </row>
    <row r="166" spans="2:15">
      <c r="G166" s="169"/>
      <c r="H166" s="169"/>
      <c r="I166" s="169"/>
      <c r="J166" s="169"/>
      <c r="K166" s="169"/>
      <c r="L166" s="169"/>
      <c r="M166" s="169"/>
      <c r="N166" s="169"/>
    </row>
    <row r="169" spans="2:15">
      <c r="J169" s="154"/>
      <c r="K169" s="154"/>
      <c r="L169" s="154"/>
      <c r="M169" s="154"/>
      <c r="N169" s="154"/>
    </row>
    <row r="170" spans="2:15">
      <c r="G170" s="169"/>
      <c r="H170" s="169"/>
      <c r="I170" s="169"/>
      <c r="J170" s="169"/>
      <c r="K170" s="169"/>
      <c r="L170" s="169"/>
      <c r="M170" s="169"/>
      <c r="N170" s="169"/>
    </row>
    <row r="171" spans="2:15">
      <c r="G171" s="169"/>
      <c r="H171" s="169"/>
      <c r="I171" s="169"/>
      <c r="J171" s="169"/>
      <c r="K171" s="169"/>
      <c r="L171" s="169"/>
      <c r="M171" s="169"/>
      <c r="N171" s="169"/>
    </row>
    <row r="172" spans="2:15">
      <c r="G172" s="169"/>
      <c r="H172" s="169"/>
      <c r="I172" s="169"/>
      <c r="J172" s="169"/>
      <c r="K172" s="169"/>
      <c r="L172" s="169"/>
      <c r="M172" s="169"/>
      <c r="N172" s="169"/>
    </row>
    <row r="173" spans="2:15">
      <c r="G173" s="169"/>
      <c r="H173" s="169"/>
      <c r="I173" s="169"/>
      <c r="J173" s="169"/>
      <c r="K173" s="169"/>
      <c r="L173" s="169"/>
      <c r="M173" s="169"/>
      <c r="N173" s="169"/>
    </row>
    <row r="174" spans="2:15">
      <c r="G174" s="169"/>
    </row>
  </sheetData>
  <dataValidations count="1">
    <dataValidation type="list" allowBlank="1" showInputMessage="1" showErrorMessage="1" sqref="B138 B120">
      <formula1>#REF!</formula1>
    </dataValidation>
  </dataValidations>
  <pageMargins left="0.70866141732283472" right="0.70866141732283472" top="0.51181102362204722" bottom="0.51181102362204722" header="0.51181102362204722" footer="0.35433070866141736"/>
  <pageSetup paperSize="8" fitToHeight="0" orientation="landscape" verticalDpi="4294967292" r:id="rId1"/>
  <headerFooter alignWithMargins="0">
    <oddFooter xml:space="preserve">&amp;L&amp;F : &amp;A&amp;CPrinted at &amp;T on &amp;D&amp;RCommercial in confidence © Analysys Mason </oddFooter>
  </headerFooter>
</worksheet>
</file>

<file path=xl/worksheets/sheet9.xml><?xml version="1.0" encoding="utf-8"?>
<worksheet xmlns="http://schemas.openxmlformats.org/spreadsheetml/2006/main" xmlns:r="http://schemas.openxmlformats.org/officeDocument/2006/relationships">
  <sheetPr codeName="Sheet9">
    <pageSetUpPr autoPageBreaks="0" fitToPage="1"/>
  </sheetPr>
  <dimension ref="A1:T195"/>
  <sheetViews>
    <sheetView showGridLines="0" defaultGridColor="0" colorId="22" zoomScale="90" zoomScaleNormal="90" workbookViewId="0">
      <pane ySplit="1" topLeftCell="A74" activePane="bottomLeft" state="frozen"/>
      <selection activeCell="E19" sqref="E19:AO19"/>
      <selection pane="bottomLeft" activeCell="G159" sqref="G159:N164"/>
    </sheetView>
  </sheetViews>
  <sheetFormatPr defaultColWidth="12.7109375" defaultRowHeight="12"/>
  <cols>
    <col min="1" max="1" width="4.140625" style="73" customWidth="1"/>
    <col min="2" max="2" width="34.7109375" style="73" customWidth="1"/>
    <col min="3" max="3" width="2.140625" style="73" customWidth="1"/>
    <col min="4" max="4" width="2.5703125" style="73" customWidth="1"/>
    <col min="5" max="5" width="9.28515625" style="73" customWidth="1"/>
    <col min="6" max="6" width="10.28515625" style="73" customWidth="1"/>
    <col min="7" max="14" width="11.85546875" style="73" customWidth="1"/>
    <col min="15" max="15" width="15" style="73" bestFit="1" customWidth="1"/>
    <col min="16" max="16" width="15" style="73" customWidth="1"/>
    <col min="17" max="17" width="12.7109375" style="73" customWidth="1"/>
    <col min="18" max="18" width="9.28515625" style="73" customWidth="1"/>
    <col min="19" max="19" width="40.7109375" style="172" customWidth="1"/>
    <col min="20" max="20" width="13.7109375" style="169" customWidth="1"/>
    <col min="21" max="21" width="13" style="73" customWidth="1"/>
    <col min="22" max="16384" width="12.7109375" style="73"/>
  </cols>
  <sheetData>
    <row r="1" spans="1:20" s="58" customFormat="1" ht="33.75" customHeight="1">
      <c r="A1" s="57" t="s">
        <v>298</v>
      </c>
      <c r="S1" s="171"/>
      <c r="T1" s="174"/>
    </row>
    <row r="2" spans="1:20">
      <c r="O2" s="65"/>
      <c r="P2" s="112"/>
    </row>
    <row r="3" spans="1:20" ht="15.75">
      <c r="B3" s="70" t="s">
        <v>272</v>
      </c>
      <c r="C3" s="70"/>
      <c r="D3" s="70"/>
      <c r="E3" s="71"/>
      <c r="F3" s="72"/>
      <c r="G3" s="70"/>
      <c r="H3" s="70"/>
      <c r="I3" s="70"/>
      <c r="J3" s="70"/>
      <c r="K3" s="70"/>
      <c r="L3" s="70"/>
      <c r="M3" s="70"/>
      <c r="N3" s="70"/>
      <c r="O3" s="65"/>
      <c r="P3" s="160"/>
    </row>
    <row r="4" spans="1:20">
      <c r="B4" s="74" t="s">
        <v>114</v>
      </c>
      <c r="C4" s="74"/>
      <c r="D4" s="74"/>
      <c r="E4" s="74"/>
      <c r="F4" s="74"/>
      <c r="G4" s="214" t="s">
        <v>91</v>
      </c>
      <c r="H4" s="214" t="s">
        <v>92</v>
      </c>
      <c r="I4" s="214" t="s">
        <v>93</v>
      </c>
      <c r="J4" s="214" t="s">
        <v>94</v>
      </c>
      <c r="K4" s="214" t="s">
        <v>95</v>
      </c>
      <c r="L4" s="214" t="s">
        <v>96</v>
      </c>
      <c r="M4" s="214" t="s">
        <v>97</v>
      </c>
      <c r="N4" s="214" t="s">
        <v>98</v>
      </c>
      <c r="O4" s="65"/>
      <c r="P4" s="65"/>
      <c r="S4" s="73"/>
      <c r="T4" s="73"/>
    </row>
    <row r="5" spans="1:20">
      <c r="B5" s="112" t="s">
        <v>380</v>
      </c>
      <c r="P5" s="65"/>
      <c r="S5" s="73"/>
      <c r="T5" s="73"/>
    </row>
    <row r="6" spans="1:20">
      <c r="B6" s="230" t="s">
        <v>117</v>
      </c>
      <c r="G6" s="101">
        <f t="shared" ref="G6:N6" si="0">wlr_bri</f>
        <v>13728813</v>
      </c>
      <c r="H6" s="101">
        <f t="shared" si="0"/>
        <v>12250928</v>
      </c>
      <c r="I6" s="101">
        <f t="shared" si="0"/>
        <v>11418728</v>
      </c>
      <c r="J6" s="101">
        <f t="shared" si="0"/>
        <v>11133336.090905273</v>
      </c>
      <c r="K6" s="101">
        <f t="shared" si="0"/>
        <v>10713807.119330265</v>
      </c>
      <c r="L6" s="101">
        <f t="shared" si="0"/>
        <v>10287821.204746993</v>
      </c>
      <c r="M6" s="101">
        <f t="shared" si="0"/>
        <v>9908558.573047787</v>
      </c>
      <c r="N6" s="101">
        <f t="shared" si="0"/>
        <v>9553766.9010962695</v>
      </c>
      <c r="O6" s="65"/>
      <c r="P6" s="65"/>
      <c r="S6" s="73"/>
      <c r="T6" s="73"/>
    </row>
    <row r="7" spans="1:20">
      <c r="B7" s="230" t="s">
        <v>118</v>
      </c>
      <c r="G7" s="101">
        <f t="shared" ref="G7:N7" si="1">wlr_bre</f>
        <v>3176807</v>
      </c>
      <c r="H7" s="101">
        <f t="shared" si="1"/>
        <v>3127373</v>
      </c>
      <c r="I7" s="101">
        <f t="shared" si="1"/>
        <v>3191445</v>
      </c>
      <c r="J7" s="101">
        <f t="shared" si="1"/>
        <v>2839907.5317295431</v>
      </c>
      <c r="K7" s="101">
        <f t="shared" si="1"/>
        <v>2732893.4726526882</v>
      </c>
      <c r="L7" s="101">
        <f t="shared" si="1"/>
        <v>2624232.3671800913</v>
      </c>
      <c r="M7" s="101">
        <f t="shared" si="1"/>
        <v>2527489.5045312224</v>
      </c>
      <c r="N7" s="101">
        <f t="shared" si="1"/>
        <v>2436988.7298179613</v>
      </c>
      <c r="O7" s="65"/>
      <c r="P7" s="65"/>
      <c r="S7" s="73"/>
      <c r="T7" s="73"/>
    </row>
    <row r="8" spans="1:20">
      <c r="B8" s="230" t="s">
        <v>119</v>
      </c>
      <c r="G8" s="101">
        <f t="shared" ref="G8:N8" si="2">wlr_pri</f>
        <v>3609219</v>
      </c>
      <c r="H8" s="101">
        <f t="shared" si="2"/>
        <v>3487124</v>
      </c>
      <c r="I8" s="101">
        <f t="shared" si="2"/>
        <v>3026492</v>
      </c>
      <c r="J8" s="101">
        <f t="shared" si="2"/>
        <v>3015954.7305749389</v>
      </c>
      <c r="K8" s="101">
        <f t="shared" si="2"/>
        <v>2902306.8198226099</v>
      </c>
      <c r="L8" s="101">
        <f t="shared" si="2"/>
        <v>2786909.7614965602</v>
      </c>
      <c r="M8" s="101">
        <f t="shared" si="2"/>
        <v>2684169.7634524959</v>
      </c>
      <c r="N8" s="101">
        <f t="shared" si="2"/>
        <v>2588058.8033005898</v>
      </c>
      <c r="O8" s="65"/>
      <c r="P8" s="65"/>
      <c r="S8" s="73"/>
      <c r="T8" s="73"/>
    </row>
    <row r="9" spans="1:20">
      <c r="B9" s="230" t="s">
        <v>120</v>
      </c>
      <c r="G9" s="101">
        <f t="shared" ref="G9:N9" si="3">wlr_pre</f>
        <v>1684192</v>
      </c>
      <c r="H9" s="101">
        <f t="shared" si="3"/>
        <v>1826284</v>
      </c>
      <c r="I9" s="101">
        <f t="shared" si="3"/>
        <v>1762117</v>
      </c>
      <c r="J9" s="101">
        <f t="shared" si="3"/>
        <v>1576545.5912672966</v>
      </c>
      <c r="K9" s="101">
        <f t="shared" si="3"/>
        <v>1517137.8319806817</v>
      </c>
      <c r="L9" s="101">
        <f t="shared" si="3"/>
        <v>1456815.7317499309</v>
      </c>
      <c r="M9" s="101">
        <f t="shared" si="3"/>
        <v>1403109.9220038068</v>
      </c>
      <c r="N9" s="101">
        <f t="shared" si="3"/>
        <v>1352869.3434686414</v>
      </c>
      <c r="O9" s="65"/>
      <c r="P9" s="65"/>
      <c r="S9" s="73"/>
      <c r="T9" s="73"/>
    </row>
    <row r="10" spans="1:20">
      <c r="B10" s="217" t="s">
        <v>163</v>
      </c>
      <c r="C10" s="86"/>
      <c r="G10" s="101">
        <f t="shared" ref="G10:N10" si="4">forecast_wlr*1000000</f>
        <v>22198999.999999996</v>
      </c>
      <c r="H10" s="101">
        <f t="shared" si="4"/>
        <v>20692500</v>
      </c>
      <c r="I10" s="101">
        <f t="shared" si="4"/>
        <v>19401500.000000004</v>
      </c>
      <c r="J10" s="101">
        <f t="shared" si="4"/>
        <v>18565743.944477051</v>
      </c>
      <c r="K10" s="101">
        <f t="shared" si="4"/>
        <v>17866145.243786246</v>
      </c>
      <c r="L10" s="101">
        <f t="shared" si="4"/>
        <v>17155779.065173578</v>
      </c>
      <c r="M10" s="101">
        <f t="shared" si="4"/>
        <v>16523327.763035312</v>
      </c>
      <c r="N10" s="101">
        <f t="shared" si="4"/>
        <v>15931683.777683463</v>
      </c>
      <c r="O10" s="65"/>
      <c r="P10" s="65"/>
      <c r="S10" s="73"/>
      <c r="T10" s="73"/>
    </row>
    <row r="11" spans="1:20">
      <c r="B11" s="230" t="s">
        <v>121</v>
      </c>
      <c r="G11" s="101">
        <f t="shared" ref="G11:N11" si="5">wlr_bci</f>
        <v>562789</v>
      </c>
      <c r="H11" s="101">
        <f t="shared" si="5"/>
        <v>555669</v>
      </c>
      <c r="I11" s="101">
        <f t="shared" si="5"/>
        <v>569401</v>
      </c>
      <c r="J11" s="101">
        <f t="shared" si="5"/>
        <v>505531.07668419625</v>
      </c>
      <c r="K11" s="101">
        <f t="shared" si="5"/>
        <v>486481.53654916177</v>
      </c>
      <c r="L11" s="101">
        <f t="shared" si="5"/>
        <v>467138.80618575343</v>
      </c>
      <c r="M11" s="101">
        <f t="shared" si="5"/>
        <v>449917.63860548043</v>
      </c>
      <c r="N11" s="101">
        <f t="shared" si="5"/>
        <v>433807.62320167408</v>
      </c>
      <c r="O11" s="65"/>
      <c r="P11" s="65"/>
      <c r="S11" s="73"/>
      <c r="T11" s="73"/>
    </row>
    <row r="12" spans="1:20">
      <c r="B12" s="230" t="s">
        <v>122</v>
      </c>
      <c r="G12" s="101">
        <f t="shared" ref="G12:N12" si="6">wlr_pci</f>
        <v>408693</v>
      </c>
      <c r="H12" s="101">
        <f t="shared" si="6"/>
        <v>330002</v>
      </c>
      <c r="I12" s="101">
        <f t="shared" si="6"/>
        <v>317101</v>
      </c>
      <c r="J12" s="101">
        <f t="shared" si="6"/>
        <v>313606.93158784573</v>
      </c>
      <c r="K12" s="101">
        <f t="shared" si="6"/>
        <v>301789.5219261254</v>
      </c>
      <c r="L12" s="101">
        <f t="shared" si="6"/>
        <v>289790.23128392233</v>
      </c>
      <c r="M12" s="101">
        <f t="shared" si="6"/>
        <v>279107.05517013557</v>
      </c>
      <c r="N12" s="101">
        <f t="shared" si="6"/>
        <v>269113.18390952313</v>
      </c>
      <c r="O12" s="65"/>
      <c r="P12" s="65"/>
      <c r="S12" s="73"/>
      <c r="T12" s="73"/>
    </row>
    <row r="13" spans="1:20">
      <c r="B13" s="236" t="s">
        <v>225</v>
      </c>
      <c r="G13" s="101">
        <f t="shared" ref="G13:N13" si="7">wlr_ce</f>
        <v>717579</v>
      </c>
      <c r="H13" s="101">
        <f t="shared" si="7"/>
        <v>739455</v>
      </c>
      <c r="I13" s="101">
        <f t="shared" si="7"/>
        <v>534313</v>
      </c>
      <c r="J13" s="101">
        <f t="shared" si="7"/>
        <v>595865.82911383791</v>
      </c>
      <c r="K13" s="101">
        <f t="shared" si="7"/>
        <v>573412.27373352135</v>
      </c>
      <c r="L13" s="101">
        <f t="shared" si="7"/>
        <v>550613.13714845688</v>
      </c>
      <c r="M13" s="101">
        <f t="shared" si="7"/>
        <v>530314.6712938284</v>
      </c>
      <c r="N13" s="101">
        <f t="shared" si="7"/>
        <v>511325.91248479771</v>
      </c>
      <c r="O13" s="65"/>
      <c r="P13" s="65"/>
      <c r="S13" s="73"/>
      <c r="T13" s="73"/>
    </row>
    <row r="14" spans="1:20">
      <c r="B14" s="217" t="s">
        <v>167</v>
      </c>
      <c r="C14" s="86"/>
      <c r="G14" s="101">
        <f t="shared" ref="G14:N14" si="8">wlr_bpti</f>
        <v>2594413</v>
      </c>
      <c r="H14" s="101">
        <f t="shared" si="8"/>
        <v>1521075</v>
      </c>
      <c r="I14" s="101">
        <f t="shared" si="8"/>
        <v>1119313</v>
      </c>
      <c r="J14" s="101">
        <f t="shared" si="8"/>
        <v>863240.22561853332</v>
      </c>
      <c r="K14" s="101">
        <f t="shared" si="8"/>
        <v>721288.49664014322</v>
      </c>
      <c r="L14" s="101">
        <f t="shared" si="8"/>
        <v>626437.65041591553</v>
      </c>
      <c r="M14" s="101">
        <f t="shared" si="8"/>
        <v>564574.65351144224</v>
      </c>
      <c r="N14" s="101">
        <f t="shared" si="8"/>
        <v>521185.47039561818</v>
      </c>
      <c r="O14" s="65"/>
      <c r="P14" s="65"/>
      <c r="S14" s="73"/>
      <c r="T14" s="73"/>
    </row>
    <row r="15" spans="1:20">
      <c r="B15" s="217" t="s">
        <v>168</v>
      </c>
      <c r="C15" s="86"/>
      <c r="G15" s="101">
        <f t="shared" ref="G15:N15" si="9">wlr_bpte</f>
        <v>2162809</v>
      </c>
      <c r="H15" s="101">
        <f t="shared" si="9"/>
        <v>1389783</v>
      </c>
      <c r="I15" s="101">
        <f t="shared" si="9"/>
        <v>612297</v>
      </c>
      <c r="J15" s="101">
        <f t="shared" si="9"/>
        <v>421290.51477328467</v>
      </c>
      <c r="K15" s="101">
        <f t="shared" si="9"/>
        <v>295065.15969631122</v>
      </c>
      <c r="L15" s="101">
        <f t="shared" si="9"/>
        <v>234909.09966857161</v>
      </c>
      <c r="M15" s="101">
        <f t="shared" si="9"/>
        <v>195244.26413523007</v>
      </c>
      <c r="N15" s="101">
        <f t="shared" si="9"/>
        <v>170962.21815858764</v>
      </c>
      <c r="O15" s="65"/>
      <c r="P15" s="65"/>
      <c r="S15" s="73"/>
      <c r="T15" s="73"/>
    </row>
    <row r="16" spans="1:20">
      <c r="B16" s="217" t="s">
        <v>123</v>
      </c>
      <c r="C16" s="86"/>
      <c r="G16" s="101">
        <f t="shared" ref="G16:N16" si="10">mpf_np</f>
        <v>44000</v>
      </c>
      <c r="H16" s="101">
        <f t="shared" si="10"/>
        <v>626000</v>
      </c>
      <c r="I16" s="101">
        <f t="shared" si="10"/>
        <v>1204000</v>
      </c>
      <c r="J16" s="101">
        <f t="shared" si="10"/>
        <v>1421532.8465967907</v>
      </c>
      <c r="K16" s="101">
        <f t="shared" si="10"/>
        <v>1628151.9714840297</v>
      </c>
      <c r="L16" s="101">
        <f t="shared" si="10"/>
        <v>1832538.7154270546</v>
      </c>
      <c r="M16" s="101">
        <f t="shared" si="10"/>
        <v>2023749.8498994277</v>
      </c>
      <c r="N16" s="101">
        <f t="shared" si="10"/>
        <v>2206509.1525800386</v>
      </c>
      <c r="O16" s="65"/>
      <c r="P16" s="65"/>
      <c r="S16" s="73"/>
      <c r="T16" s="73"/>
    </row>
    <row r="17" spans="2:20">
      <c r="B17" s="230" t="s">
        <v>124</v>
      </c>
      <c r="G17" s="101">
        <f t="shared" ref="G17:N17" si="11">mpf_sm</f>
        <v>956000</v>
      </c>
      <c r="H17" s="101">
        <f t="shared" si="11"/>
        <v>1224000</v>
      </c>
      <c r="I17" s="101">
        <f t="shared" si="11"/>
        <v>768000</v>
      </c>
      <c r="J17" s="101">
        <f t="shared" si="11"/>
        <v>823638.95150585298</v>
      </c>
      <c r="K17" s="101">
        <f t="shared" si="11"/>
        <v>857751.39979801059</v>
      </c>
      <c r="L17" s="101">
        <f t="shared" si="11"/>
        <v>890950.27200153994</v>
      </c>
      <c r="M17" s="101">
        <f t="shared" si="11"/>
        <v>918757.17837742227</v>
      </c>
      <c r="N17" s="101">
        <f t="shared" si="11"/>
        <v>943105.27032018744</v>
      </c>
      <c r="O17" s="65"/>
      <c r="P17" s="65"/>
      <c r="S17" s="73"/>
      <c r="T17" s="73"/>
    </row>
    <row r="18" spans="2:20">
      <c r="B18" s="230" t="s">
        <v>125</v>
      </c>
      <c r="G18" s="101">
        <f t="shared" ref="G18:N18" si="12">mpf_bm</f>
        <v>621000</v>
      </c>
      <c r="H18" s="101">
        <f t="shared" si="12"/>
        <v>103000</v>
      </c>
      <c r="I18" s="101">
        <f t="shared" si="12"/>
        <v>410000</v>
      </c>
      <c r="J18" s="101">
        <f t="shared" si="12"/>
        <v>493999.99999999977</v>
      </c>
      <c r="K18" s="101">
        <f t="shared" si="12"/>
        <v>508000</v>
      </c>
      <c r="L18" s="101">
        <f t="shared" si="12"/>
        <v>508000</v>
      </c>
      <c r="M18" s="101">
        <f t="shared" si="12"/>
        <v>508000</v>
      </c>
      <c r="N18" s="101">
        <f t="shared" si="12"/>
        <v>508000</v>
      </c>
      <c r="O18" s="65"/>
      <c r="P18" s="65"/>
      <c r="S18" s="73"/>
      <c r="T18" s="73"/>
    </row>
    <row r="19" spans="2:20">
      <c r="B19" s="230" t="s">
        <v>126</v>
      </c>
      <c r="G19" s="101">
        <f t="shared" ref="G19:N19" si="13">mpf_c</f>
        <v>447000</v>
      </c>
      <c r="H19" s="101">
        <f t="shared" si="13"/>
        <v>968000</v>
      </c>
      <c r="I19" s="101">
        <f t="shared" si="13"/>
        <v>1170000</v>
      </c>
      <c r="J19" s="101">
        <f t="shared" si="13"/>
        <v>1352042.5898918773</v>
      </c>
      <c r="K19" s="101">
        <f t="shared" si="13"/>
        <v>1548561.3389327666</v>
      </c>
      <c r="L19" s="101">
        <f t="shared" si="13"/>
        <v>1742956.8348102369</v>
      </c>
      <c r="M19" s="101">
        <f t="shared" si="13"/>
        <v>1924820.7981278014</v>
      </c>
      <c r="N19" s="101">
        <f t="shared" si="13"/>
        <v>2098646.0892666522</v>
      </c>
      <c r="O19" s="65"/>
      <c r="P19" s="65"/>
      <c r="S19" s="73"/>
      <c r="T19" s="73"/>
    </row>
    <row r="20" spans="2:20">
      <c r="B20" s="230" t="s">
        <v>127</v>
      </c>
      <c r="G20" s="101">
        <f t="shared" ref="G20:N20" si="14">forecast_mpf*1000000</f>
        <v>2223000.0000000009</v>
      </c>
      <c r="H20" s="101">
        <f t="shared" si="14"/>
        <v>3789000.0000000005</v>
      </c>
      <c r="I20" s="101">
        <f t="shared" si="14"/>
        <v>4962000</v>
      </c>
      <c r="J20" s="101">
        <f t="shared" si="14"/>
        <v>5858509.9541638503</v>
      </c>
      <c r="K20" s="101">
        <f t="shared" si="14"/>
        <v>6710041.5967639163</v>
      </c>
      <c r="L20" s="101">
        <f t="shared" si="14"/>
        <v>7552373.0115855848</v>
      </c>
      <c r="M20" s="101">
        <f t="shared" si="14"/>
        <v>8340404.281728372</v>
      </c>
      <c r="N20" s="101">
        <f t="shared" si="14"/>
        <v>9093603.3348024506</v>
      </c>
      <c r="O20" s="65"/>
      <c r="P20" s="65"/>
      <c r="S20" s="73"/>
      <c r="T20" s="73"/>
    </row>
    <row r="21" spans="2:20">
      <c r="B21" s="230" t="s">
        <v>128</v>
      </c>
      <c r="G21" s="101">
        <f t="shared" ref="G21:N21" si="15">mpf_rb</f>
        <v>600</v>
      </c>
      <c r="H21" s="101">
        <f t="shared" si="15"/>
        <v>1500</v>
      </c>
      <c r="I21" s="101">
        <f t="shared" si="15"/>
        <v>1500</v>
      </c>
      <c r="J21" s="101">
        <f t="shared" si="15"/>
        <v>1700</v>
      </c>
      <c r="K21" s="101">
        <f t="shared" si="15"/>
        <v>1600</v>
      </c>
      <c r="L21" s="101">
        <f t="shared" si="15"/>
        <v>600</v>
      </c>
      <c r="M21" s="101">
        <f t="shared" si="15"/>
        <v>500</v>
      </c>
      <c r="N21" s="101">
        <f t="shared" si="15"/>
        <v>300</v>
      </c>
      <c r="O21" s="65"/>
      <c r="P21" s="65"/>
      <c r="S21" s="73"/>
      <c r="T21" s="73"/>
    </row>
    <row r="22" spans="2:20">
      <c r="B22" s="230" t="s">
        <v>129</v>
      </c>
      <c r="G22" s="101">
        <f t="shared" ref="G22:N22" si="16">mpf_hr</f>
        <v>10000</v>
      </c>
      <c r="H22" s="101">
        <f t="shared" si="16"/>
        <v>13000</v>
      </c>
      <c r="I22" s="101">
        <f t="shared" si="16"/>
        <v>13000</v>
      </c>
      <c r="J22" s="101">
        <f t="shared" si="16"/>
        <v>13000</v>
      </c>
      <c r="K22" s="101">
        <f t="shared" si="16"/>
        <v>13000</v>
      </c>
      <c r="L22" s="101">
        <f t="shared" si="16"/>
        <v>13000</v>
      </c>
      <c r="M22" s="101">
        <f t="shared" si="16"/>
        <v>13000</v>
      </c>
      <c r="N22" s="101">
        <f t="shared" si="16"/>
        <v>13000</v>
      </c>
      <c r="O22" s="65"/>
      <c r="P22" s="65"/>
      <c r="S22" s="73"/>
      <c r="T22" s="73"/>
    </row>
    <row r="23" spans="2:20">
      <c r="G23" s="101"/>
      <c r="H23" s="101"/>
      <c r="I23" s="101"/>
      <c r="J23" s="101"/>
      <c r="K23" s="101"/>
      <c r="L23" s="101"/>
      <c r="M23" s="101"/>
      <c r="N23" s="101"/>
      <c r="O23" s="65"/>
      <c r="P23" s="65"/>
      <c r="S23" s="73"/>
      <c r="T23" s="73"/>
    </row>
    <row r="24" spans="2:20">
      <c r="B24" s="112" t="s">
        <v>381</v>
      </c>
      <c r="G24" s="101"/>
      <c r="H24" s="101"/>
      <c r="I24" s="101"/>
      <c r="J24" s="101"/>
      <c r="K24" s="101"/>
      <c r="L24" s="101"/>
      <c r="M24" s="101"/>
      <c r="N24" s="101"/>
      <c r="O24" s="65"/>
      <c r="P24" s="65"/>
      <c r="S24" s="73"/>
      <c r="T24" s="73"/>
    </row>
    <row r="25" spans="2:20">
      <c r="B25" s="217" t="s">
        <v>349</v>
      </c>
      <c r="G25" s="101">
        <f t="shared" ref="G25:N25" si="17">smpf_simm</f>
        <v>0</v>
      </c>
      <c r="H25" s="101">
        <f t="shared" si="17"/>
        <v>0</v>
      </c>
      <c r="I25" s="101">
        <f t="shared" si="17"/>
        <v>0</v>
      </c>
      <c r="J25" s="101">
        <f t="shared" si="17"/>
        <v>585850.99541638501</v>
      </c>
      <c r="K25" s="101">
        <f t="shared" si="17"/>
        <v>671004.15967639163</v>
      </c>
      <c r="L25" s="101">
        <f t="shared" si="17"/>
        <v>755237.30115855846</v>
      </c>
      <c r="M25" s="101">
        <f t="shared" si="17"/>
        <v>834040.42817283713</v>
      </c>
      <c r="N25" s="101">
        <f t="shared" si="17"/>
        <v>909360.33348024497</v>
      </c>
      <c r="O25" s="65"/>
      <c r="P25" s="65"/>
      <c r="S25" s="73"/>
      <c r="T25" s="73"/>
    </row>
    <row r="26" spans="2:20">
      <c r="B26" s="237" t="s">
        <v>269</v>
      </c>
      <c r="C26" s="87"/>
      <c r="G26" s="101">
        <f t="shared" ref="G26:N26" si="18">wlr_con</f>
        <v>0</v>
      </c>
      <c r="H26" s="101">
        <f t="shared" si="18"/>
        <v>0</v>
      </c>
      <c r="I26" s="101">
        <f t="shared" si="18"/>
        <v>0</v>
      </c>
      <c r="J26" s="101">
        <f t="shared" si="18"/>
        <v>10000</v>
      </c>
      <c r="K26" s="101">
        <f t="shared" si="18"/>
        <v>9263.8644900565214</v>
      </c>
      <c r="L26" s="101">
        <f t="shared" si="18"/>
        <v>8526.1692074480416</v>
      </c>
      <c r="M26" s="101">
        <f t="shared" si="18"/>
        <v>7968.5654168160063</v>
      </c>
      <c r="N26" s="101">
        <f t="shared" si="18"/>
        <v>7514.2111010154877</v>
      </c>
      <c r="O26" s="65"/>
      <c r="P26" s="65"/>
      <c r="S26" s="73"/>
      <c r="T26" s="73"/>
    </row>
    <row r="27" spans="2:20">
      <c r="B27" s="217" t="s">
        <v>374</v>
      </c>
      <c r="G27" s="101">
        <f t="shared" ref="G27:N27" si="19">smpf_simc</f>
        <v>0</v>
      </c>
      <c r="H27" s="101">
        <f t="shared" si="19"/>
        <v>0</v>
      </c>
      <c r="I27" s="101">
        <f t="shared" si="19"/>
        <v>0</v>
      </c>
      <c r="J27" s="101">
        <f t="shared" si="19"/>
        <v>982050.78317551815</v>
      </c>
      <c r="K27" s="101">
        <f t="shared" si="19"/>
        <v>978101.2511346119</v>
      </c>
      <c r="L27" s="101">
        <f t="shared" si="19"/>
        <v>970352.79801811755</v>
      </c>
      <c r="M27" s="101">
        <f t="shared" si="19"/>
        <v>957718.69498491962</v>
      </c>
      <c r="N27" s="101">
        <f t="shared" si="19"/>
        <v>941778.56028541259</v>
      </c>
      <c r="O27" s="65"/>
      <c r="P27" s="65"/>
      <c r="S27" s="73"/>
      <c r="T27" s="73"/>
    </row>
    <row r="28" spans="2:20">
      <c r="G28" s="101"/>
      <c r="H28" s="101"/>
      <c r="I28" s="101"/>
      <c r="J28" s="101"/>
      <c r="K28" s="101"/>
      <c r="L28" s="101"/>
      <c r="M28" s="101"/>
      <c r="N28" s="101"/>
      <c r="O28" s="65"/>
      <c r="P28" s="65"/>
      <c r="S28" s="73"/>
      <c r="T28" s="73"/>
    </row>
    <row r="29" spans="2:20">
      <c r="B29" s="112" t="s">
        <v>379</v>
      </c>
      <c r="G29" s="101"/>
      <c r="H29" s="101"/>
      <c r="I29" s="101"/>
      <c r="J29" s="101"/>
      <c r="K29" s="101"/>
      <c r="L29" s="101"/>
      <c r="M29" s="101"/>
      <c r="N29" s="101"/>
      <c r="O29" s="65"/>
      <c r="P29" s="65"/>
      <c r="S29" s="73"/>
      <c r="T29" s="73"/>
    </row>
    <row r="30" spans="2:20">
      <c r="B30" s="230" t="s">
        <v>134</v>
      </c>
      <c r="G30" s="101">
        <f t="shared" ref="G30:N30" si="20">smpf_c</f>
        <v>2675000</v>
      </c>
      <c r="H30" s="101">
        <f t="shared" si="20"/>
        <v>2115000</v>
      </c>
      <c r="I30" s="101">
        <f t="shared" si="20"/>
        <v>2235000</v>
      </c>
      <c r="J30" s="101">
        <f t="shared" si="20"/>
        <v>2277368.0245633414</v>
      </c>
      <c r="K30" s="101">
        <f t="shared" si="20"/>
        <v>2246680.4772144505</v>
      </c>
      <c r="L30" s="101">
        <f t="shared" si="20"/>
        <v>2214021.6202256358</v>
      </c>
      <c r="M30" s="101">
        <f t="shared" si="20"/>
        <v>2169728.0079641179</v>
      </c>
      <c r="N30" s="101">
        <f t="shared" si="20"/>
        <v>2117970.9842587304</v>
      </c>
      <c r="O30" s="65"/>
      <c r="P30" s="65"/>
      <c r="S30" s="73"/>
      <c r="T30" s="73"/>
    </row>
    <row r="31" spans="2:20">
      <c r="B31" s="230" t="s">
        <v>133</v>
      </c>
      <c r="G31" s="101">
        <f t="shared" ref="G31:N31" si="21">smpf_bm</f>
        <v>103000</v>
      </c>
      <c r="H31" s="101">
        <f t="shared" si="21"/>
        <v>202000</v>
      </c>
      <c r="I31" s="101">
        <f t="shared" si="21"/>
        <v>398000</v>
      </c>
      <c r="J31" s="101">
        <f t="shared" si="21"/>
        <v>81477.899999999994</v>
      </c>
      <c r="K31" s="101">
        <f t="shared" si="21"/>
        <v>57034.529999999992</v>
      </c>
      <c r="L31" s="101">
        <f t="shared" si="21"/>
        <v>39924.170999999995</v>
      </c>
      <c r="M31" s="101">
        <f t="shared" si="21"/>
        <v>27946.919699999995</v>
      </c>
      <c r="N31" s="101">
        <f t="shared" si="21"/>
        <v>19562.843789999995</v>
      </c>
      <c r="O31" s="65"/>
      <c r="P31" s="65"/>
      <c r="S31" s="73"/>
      <c r="T31" s="73"/>
    </row>
    <row r="32" spans="2:20">
      <c r="B32" s="230" t="s">
        <v>132</v>
      </c>
      <c r="G32" s="101">
        <f t="shared" ref="G32:N32" si="22">smpf_sm</f>
        <v>324000</v>
      </c>
      <c r="H32" s="101">
        <f t="shared" si="22"/>
        <v>393000</v>
      </c>
      <c r="I32" s="101">
        <f t="shared" si="22"/>
        <v>312000</v>
      </c>
      <c r="J32" s="101">
        <f t="shared" si="22"/>
        <v>243600</v>
      </c>
      <c r="K32" s="101">
        <f t="shared" si="22"/>
        <v>192800</v>
      </c>
      <c r="L32" s="101">
        <f t="shared" si="22"/>
        <v>142000</v>
      </c>
      <c r="M32" s="101">
        <f t="shared" si="22"/>
        <v>91199.999999999985</v>
      </c>
      <c r="N32" s="101">
        <f t="shared" si="22"/>
        <v>40399.999999999993</v>
      </c>
      <c r="O32" s="65"/>
      <c r="P32" s="65"/>
      <c r="S32" s="73"/>
      <c r="T32" s="73"/>
    </row>
    <row r="33" spans="2:20">
      <c r="B33" s="230" t="s">
        <v>131</v>
      </c>
      <c r="G33" s="101">
        <f t="shared" ref="G33:N33" si="23">smpf_np</f>
        <v>3002000</v>
      </c>
      <c r="H33" s="101">
        <f t="shared" si="23"/>
        <v>2715000</v>
      </c>
      <c r="I33" s="101">
        <f t="shared" si="23"/>
        <v>2566000</v>
      </c>
      <c r="J33" s="101">
        <f t="shared" si="23"/>
        <v>2038970.1859225691</v>
      </c>
      <c r="K33" s="101">
        <f t="shared" si="23"/>
        <v>1918447.5410094936</v>
      </c>
      <c r="L33" s="101">
        <f t="shared" si="23"/>
        <v>1796572.8507491061</v>
      </c>
      <c r="M33" s="101">
        <f t="shared" si="23"/>
        <v>1666718.3300171439</v>
      </c>
      <c r="N33" s="101">
        <f t="shared" si="23"/>
        <v>1531744.9428659258</v>
      </c>
      <c r="O33" s="65"/>
      <c r="P33" s="65"/>
      <c r="S33" s="73"/>
      <c r="T33" s="73"/>
    </row>
    <row r="34" spans="2:20">
      <c r="B34" s="230" t="s">
        <v>135</v>
      </c>
      <c r="G34" s="101">
        <f t="shared" ref="G34:N34" si="24">forecast_smpf*1000000</f>
        <v>12091000.000000002</v>
      </c>
      <c r="H34" s="101">
        <f t="shared" si="24"/>
        <v>11279499.999999998</v>
      </c>
      <c r="I34" s="101">
        <f t="shared" si="24"/>
        <v>11166500</v>
      </c>
      <c r="J34" s="101">
        <f t="shared" si="24"/>
        <v>11092580.237895409</v>
      </c>
      <c r="K34" s="101">
        <f t="shared" si="24"/>
        <v>10943107.65480816</v>
      </c>
      <c r="L34" s="101">
        <f t="shared" si="24"/>
        <v>10784033.237446109</v>
      </c>
      <c r="M34" s="101">
        <f t="shared" si="24"/>
        <v>10568288.376388211</v>
      </c>
      <c r="N34" s="101">
        <f t="shared" si="24"/>
        <v>10316190.809313279</v>
      </c>
      <c r="O34" s="65"/>
      <c r="P34" s="65"/>
      <c r="S34" s="73"/>
      <c r="T34" s="73"/>
    </row>
    <row r="35" spans="2:20">
      <c r="B35" s="230" t="s">
        <v>130</v>
      </c>
      <c r="G35" s="101">
        <f t="shared" ref="G35:N35" si="25">mpf_tc</f>
        <v>0</v>
      </c>
      <c r="H35" s="101">
        <f t="shared" si="25"/>
        <v>0</v>
      </c>
      <c r="I35" s="101">
        <f t="shared" si="25"/>
        <v>930000</v>
      </c>
      <c r="J35" s="101">
        <f t="shared" si="25"/>
        <v>978634.65290273319</v>
      </c>
      <c r="K35" s="101">
        <f t="shared" si="25"/>
        <v>997918.15845904767</v>
      </c>
      <c r="L35" s="101">
        <f t="shared" si="25"/>
        <v>1016210.4586275556</v>
      </c>
      <c r="M35" s="101">
        <f t="shared" si="25"/>
        <v>1028652.6214667714</v>
      </c>
      <c r="N35" s="101">
        <f t="shared" si="25"/>
        <v>1037342.0640408621</v>
      </c>
      <c r="O35" s="65"/>
      <c r="P35" s="65"/>
      <c r="S35" s="73"/>
      <c r="T35" s="73"/>
    </row>
    <row r="36" spans="2:20">
      <c r="G36" s="101"/>
      <c r="H36" s="101"/>
      <c r="I36" s="101"/>
      <c r="J36" s="101"/>
      <c r="K36" s="101"/>
      <c r="L36" s="101"/>
      <c r="M36" s="101"/>
      <c r="N36" s="101"/>
      <c r="O36" s="65"/>
      <c r="P36" s="65"/>
      <c r="S36" s="73"/>
      <c r="T36" s="73"/>
    </row>
    <row r="37" spans="2:20">
      <c r="B37" s="112" t="s">
        <v>382</v>
      </c>
      <c r="G37" s="101"/>
      <c r="H37" s="101"/>
      <c r="I37" s="101"/>
      <c r="J37" s="101"/>
      <c r="K37" s="101"/>
      <c r="L37" s="101"/>
      <c r="M37" s="101"/>
      <c r="N37" s="101"/>
      <c r="O37" s="65"/>
      <c r="P37" s="65"/>
      <c r="S37" s="73"/>
      <c r="T37" s="73"/>
    </row>
    <row r="38" spans="2:20">
      <c r="B38" s="217" t="s">
        <v>335</v>
      </c>
      <c r="C38" s="87"/>
      <c r="G38" s="101">
        <f t="shared" ref="G38:N38" si="26">wlr_sos_mpf</f>
        <v>0</v>
      </c>
      <c r="H38" s="101">
        <f t="shared" si="26"/>
        <v>0</v>
      </c>
      <c r="I38" s="101">
        <f t="shared" si="26"/>
        <v>0</v>
      </c>
      <c r="J38" s="101">
        <f t="shared" si="26"/>
        <v>685394.9967819989</v>
      </c>
      <c r="K38" s="101">
        <f t="shared" si="26"/>
        <v>662560.55885737832</v>
      </c>
      <c r="L38" s="101">
        <f t="shared" si="26"/>
        <v>636721.72327142139</v>
      </c>
      <c r="M38" s="101">
        <f t="shared" si="26"/>
        <v>615170.0638888916</v>
      </c>
      <c r="N38" s="101">
        <f t="shared" si="26"/>
        <v>594359.48133747315</v>
      </c>
      <c r="O38" s="92"/>
      <c r="P38" s="65"/>
      <c r="S38" s="73"/>
      <c r="T38" s="73"/>
    </row>
    <row r="39" spans="2:20">
      <c r="B39" s="217" t="s">
        <v>370</v>
      </c>
      <c r="G39" s="101">
        <f t="shared" ref="G39:N39" si="27">mpf_hc</f>
        <v>104970.56314897224</v>
      </c>
      <c r="H39" s="101">
        <f t="shared" si="27"/>
        <v>151000</v>
      </c>
      <c r="I39" s="101">
        <f t="shared" si="27"/>
        <v>367000</v>
      </c>
      <c r="J39" s="101">
        <f t="shared" si="27"/>
        <v>317504.8591998776</v>
      </c>
      <c r="K39" s="101">
        <f t="shared" si="27"/>
        <v>363654.03986241383</v>
      </c>
      <c r="L39" s="101">
        <f t="shared" si="27"/>
        <v>409304.6096071158</v>
      </c>
      <c r="M39" s="101">
        <f t="shared" si="27"/>
        <v>452012.35601863428</v>
      </c>
      <c r="N39" s="101">
        <f t="shared" si="27"/>
        <v>492832.35311120527</v>
      </c>
      <c r="O39" s="92"/>
      <c r="P39" s="65"/>
      <c r="S39" s="73"/>
      <c r="T39" s="73"/>
    </row>
    <row r="40" spans="2:20">
      <c r="B40" s="217" t="s">
        <v>371</v>
      </c>
      <c r="G40" s="101">
        <f t="shared" ref="G40:N40" si="28">mpf_sc</f>
        <v>342029.43685102777</v>
      </c>
      <c r="H40" s="101">
        <f t="shared" si="28"/>
        <v>817000</v>
      </c>
      <c r="I40" s="101">
        <f t="shared" si="28"/>
        <v>803000</v>
      </c>
      <c r="J40" s="101">
        <f t="shared" si="28"/>
        <v>1034537.7306919997</v>
      </c>
      <c r="K40" s="101">
        <f t="shared" si="28"/>
        <v>1184907.2990703527</v>
      </c>
      <c r="L40" s="101">
        <f t="shared" si="28"/>
        <v>1333652.2252031211</v>
      </c>
      <c r="M40" s="101">
        <f t="shared" si="28"/>
        <v>1472808.4421091671</v>
      </c>
      <c r="N40" s="101">
        <f t="shared" si="28"/>
        <v>1605813.7361554471</v>
      </c>
      <c r="O40" s="92"/>
      <c r="P40" s="65"/>
      <c r="S40" s="73"/>
      <c r="T40" s="73"/>
    </row>
    <row r="41" spans="2:20">
      <c r="B41" s="217" t="s">
        <v>375</v>
      </c>
      <c r="G41" s="101">
        <f t="shared" ref="G41:N41" si="29">smpf_hc</f>
        <v>547057.80855823692</v>
      </c>
      <c r="H41" s="101">
        <f t="shared" si="29"/>
        <v>408000</v>
      </c>
      <c r="I41" s="101">
        <f t="shared" si="29"/>
        <v>483000</v>
      </c>
      <c r="J41" s="101">
        <f t="shared" si="29"/>
        <v>465739.05076569074</v>
      </c>
      <c r="K41" s="101">
        <f t="shared" si="29"/>
        <v>459463.21435346216</v>
      </c>
      <c r="L41" s="101">
        <f t="shared" si="29"/>
        <v>452784.23015371716</v>
      </c>
      <c r="M41" s="101">
        <f t="shared" si="29"/>
        <v>443725.85016982403</v>
      </c>
      <c r="N41" s="101">
        <f t="shared" si="29"/>
        <v>433141.14588355634</v>
      </c>
      <c r="O41" s="92"/>
      <c r="P41" s="65"/>
      <c r="S41" s="73"/>
      <c r="T41" s="73"/>
    </row>
    <row r="42" spans="2:20" ht="12.75" customHeight="1">
      <c r="B42" s="217" t="s">
        <v>376</v>
      </c>
      <c r="G42" s="101">
        <f t="shared" ref="G42:N42" si="30">smpf_sc</f>
        <v>2127942.1914417632</v>
      </c>
      <c r="H42" s="101">
        <f t="shared" si="30"/>
        <v>1707000</v>
      </c>
      <c r="I42" s="101">
        <f t="shared" si="30"/>
        <v>1752000</v>
      </c>
      <c r="J42" s="101">
        <f t="shared" si="30"/>
        <v>1811628.9737976505</v>
      </c>
      <c r="K42" s="101">
        <f t="shared" si="30"/>
        <v>1787217.2628609883</v>
      </c>
      <c r="L42" s="101">
        <f t="shared" si="30"/>
        <v>1761237.3900719187</v>
      </c>
      <c r="M42" s="101">
        <f t="shared" si="30"/>
        <v>1726002.1577942939</v>
      </c>
      <c r="N42" s="101">
        <f t="shared" si="30"/>
        <v>1684829.838375174</v>
      </c>
      <c r="O42" s="92"/>
      <c r="P42" s="65"/>
      <c r="S42" s="73"/>
      <c r="T42" s="73"/>
    </row>
    <row r="43" spans="2:20" ht="12.75" customHeight="1">
      <c r="B43" s="217"/>
      <c r="G43" s="101"/>
      <c r="H43" s="101"/>
      <c r="I43" s="101"/>
      <c r="J43" s="101"/>
      <c r="K43" s="101"/>
      <c r="L43" s="101"/>
      <c r="M43" s="101"/>
      <c r="N43" s="101"/>
      <c r="O43" s="92"/>
      <c r="P43" s="65"/>
      <c r="S43" s="73"/>
      <c r="T43" s="73"/>
    </row>
    <row r="44" spans="2:20">
      <c r="B44" s="112" t="s">
        <v>268</v>
      </c>
      <c r="C44" s="87"/>
      <c r="G44" s="147">
        <f>G20+G10</f>
        <v>24421999.999999996</v>
      </c>
      <c r="H44" s="147">
        <f>H20+H10</f>
        <v>24481500</v>
      </c>
      <c r="I44" s="147">
        <f>I20+I10</f>
        <v>24363500.000000004</v>
      </c>
      <c r="J44" s="147">
        <f>J20+J10</f>
        <v>24424253.898640901</v>
      </c>
      <c r="K44" s="147">
        <f>K20+K10</f>
        <v>24576186.840550162</v>
      </c>
      <c r="L44" s="147">
        <f>L20+L10</f>
        <v>24708152.076759163</v>
      </c>
      <c r="M44" s="147">
        <f>M20+M10</f>
        <v>24863732.044763684</v>
      </c>
      <c r="N44" s="147">
        <f>N20+N10</f>
        <v>25025287.112485915</v>
      </c>
      <c r="O44" s="92"/>
      <c r="P44" s="65"/>
      <c r="S44" s="73"/>
      <c r="T44" s="73"/>
    </row>
    <row r="45" spans="2:20">
      <c r="O45" s="92"/>
      <c r="P45" s="65"/>
      <c r="S45" s="73"/>
      <c r="T45" s="73"/>
    </row>
    <row r="46" spans="2:20" ht="15.75">
      <c r="B46" s="70" t="s">
        <v>265</v>
      </c>
      <c r="C46" s="70"/>
      <c r="D46" s="70"/>
      <c r="E46" s="70"/>
      <c r="F46" s="72"/>
      <c r="G46" s="70"/>
      <c r="H46" s="70"/>
      <c r="I46" s="70"/>
      <c r="J46" s="70"/>
      <c r="K46" s="70"/>
      <c r="L46" s="70"/>
      <c r="M46" s="70"/>
      <c r="N46" s="70"/>
    </row>
    <row r="47" spans="2:20">
      <c r="B47" s="74" t="s">
        <v>114</v>
      </c>
      <c r="C47" s="74"/>
      <c r="D47" s="74"/>
      <c r="E47" s="74"/>
      <c r="F47" s="74"/>
      <c r="G47" s="214" t="s">
        <v>91</v>
      </c>
      <c r="H47" s="214" t="s">
        <v>92</v>
      </c>
      <c r="I47" s="214" t="s">
        <v>93</v>
      </c>
      <c r="J47" s="214" t="s">
        <v>94</v>
      </c>
      <c r="K47" s="214" t="s">
        <v>95</v>
      </c>
      <c r="L47" s="214" t="s">
        <v>96</v>
      </c>
      <c r="M47" s="214" t="s">
        <v>97</v>
      </c>
      <c r="N47" s="214" t="s">
        <v>98</v>
      </c>
    </row>
    <row r="48" spans="2:20">
      <c r="B48" s="112" t="s">
        <v>380</v>
      </c>
      <c r="G48" s="213"/>
      <c r="H48" s="213"/>
      <c r="I48" s="213"/>
      <c r="J48" s="213"/>
      <c r="K48" s="213"/>
      <c r="L48" s="213"/>
      <c r="M48" s="213"/>
      <c r="N48" s="213"/>
      <c r="P48" s="75"/>
    </row>
    <row r="49" spans="2:16">
      <c r="B49" s="230" t="s">
        <v>117</v>
      </c>
      <c r="G49" s="213">
        <v>13728813</v>
      </c>
      <c r="H49" s="213">
        <v>12250928</v>
      </c>
      <c r="I49" s="213">
        <v>11418728</v>
      </c>
      <c r="J49" s="213">
        <v>11296017.852971304</v>
      </c>
      <c r="K49" s="213">
        <v>11083895.214096537</v>
      </c>
      <c r="L49" s="213">
        <v>10894224.74980389</v>
      </c>
      <c r="M49" s="213">
        <v>10806294.822667481</v>
      </c>
      <c r="N49" s="213">
        <v>10771934.516947785</v>
      </c>
      <c r="P49" s="75"/>
    </row>
    <row r="50" spans="2:16">
      <c r="B50" s="230" t="s">
        <v>118</v>
      </c>
      <c r="G50" s="213">
        <v>3176807</v>
      </c>
      <c r="H50" s="213">
        <v>3127373</v>
      </c>
      <c r="I50" s="213">
        <v>3191445</v>
      </c>
      <c r="J50" s="213">
        <v>2881404.6317536552</v>
      </c>
      <c r="K50" s="213">
        <v>2827296.0811025258</v>
      </c>
      <c r="L50" s="213">
        <v>2778914.6637364095</v>
      </c>
      <c r="M50" s="213">
        <v>2756485.3702793387</v>
      </c>
      <c r="N50" s="213">
        <v>2747720.6936173625</v>
      </c>
      <c r="P50" s="75"/>
    </row>
    <row r="51" spans="2:16">
      <c r="B51" s="230" t="s">
        <v>119</v>
      </c>
      <c r="G51" s="213">
        <v>3609219</v>
      </c>
      <c r="H51" s="213">
        <v>3487124</v>
      </c>
      <c r="I51" s="213">
        <v>3026492</v>
      </c>
      <c r="J51" s="213">
        <v>3060024.2552776122</v>
      </c>
      <c r="K51" s="213">
        <v>3002561.4902130598</v>
      </c>
      <c r="L51" s="213">
        <v>2951180.8861099416</v>
      </c>
      <c r="M51" s="213">
        <v>2927361.1902397359</v>
      </c>
      <c r="N51" s="213">
        <v>2918053.1871638224</v>
      </c>
      <c r="P51" s="75"/>
    </row>
    <row r="52" spans="2:16">
      <c r="B52" s="230" t="s">
        <v>120</v>
      </c>
      <c r="G52" s="213">
        <v>1684192</v>
      </c>
      <c r="H52" s="213">
        <v>1826284</v>
      </c>
      <c r="I52" s="213">
        <v>1762117</v>
      </c>
      <c r="J52" s="213">
        <v>1599582.2814983865</v>
      </c>
      <c r="K52" s="213">
        <v>1569544.4735677354</v>
      </c>
      <c r="L52" s="213">
        <v>1542686.0250458708</v>
      </c>
      <c r="M52" s="213">
        <v>1530234.6324142769</v>
      </c>
      <c r="N52" s="213">
        <v>1525369.0118981374</v>
      </c>
      <c r="P52" s="75"/>
    </row>
    <row r="53" spans="2:16">
      <c r="B53" s="217" t="s">
        <v>163</v>
      </c>
      <c r="G53" s="213">
        <v>22198999.999999996</v>
      </c>
      <c r="H53" s="213">
        <v>20692500</v>
      </c>
      <c r="I53" s="213">
        <v>19401500.000000004</v>
      </c>
      <c r="J53" s="213">
        <v>18837029.02150096</v>
      </c>
      <c r="K53" s="213">
        <v>18483297.258979861</v>
      </c>
      <c r="L53" s="213">
        <v>18167006.324696112</v>
      </c>
      <c r="M53" s="213">
        <v>18020376.015600834</v>
      </c>
      <c r="N53" s="213">
        <v>17963077.40962711</v>
      </c>
      <c r="P53" s="75"/>
    </row>
    <row r="54" spans="2:16">
      <c r="B54" s="230" t="s">
        <v>121</v>
      </c>
      <c r="G54" s="213">
        <v>562789</v>
      </c>
      <c r="H54" s="213">
        <v>555669</v>
      </c>
      <c r="I54" s="213">
        <v>569401</v>
      </c>
      <c r="J54" s="213">
        <v>512917.96284865006</v>
      </c>
      <c r="K54" s="213">
        <v>503286.11619066115</v>
      </c>
      <c r="L54" s="213">
        <v>494673.75478827953</v>
      </c>
      <c r="M54" s="213">
        <v>490681.12307617825</v>
      </c>
      <c r="N54" s="213">
        <v>489120.92564713757</v>
      </c>
      <c r="P54" s="75"/>
    </row>
    <row r="55" spans="2:16">
      <c r="B55" s="230" t="s">
        <v>122</v>
      </c>
      <c r="G55" s="213">
        <v>408693</v>
      </c>
      <c r="H55" s="213">
        <v>330002</v>
      </c>
      <c r="I55" s="213">
        <v>317101</v>
      </c>
      <c r="J55" s="213">
        <v>318189.39706003317</v>
      </c>
      <c r="K55" s="213">
        <v>312214.26711204083</v>
      </c>
      <c r="L55" s="213">
        <v>306871.57631083071</v>
      </c>
      <c r="M55" s="213">
        <v>304394.74147724325</v>
      </c>
      <c r="N55" s="213">
        <v>303426.87075482996</v>
      </c>
      <c r="P55" s="75"/>
    </row>
    <row r="56" spans="2:16">
      <c r="B56" s="236" t="s">
        <v>225</v>
      </c>
      <c r="G56" s="213">
        <v>717579</v>
      </c>
      <c r="H56" s="213">
        <v>739455</v>
      </c>
      <c r="I56" s="213">
        <v>534313</v>
      </c>
      <c r="J56" s="213">
        <v>604572.69848737295</v>
      </c>
      <c r="K56" s="213">
        <v>593219.71039333881</v>
      </c>
      <c r="L56" s="213">
        <v>583068.38220730936</v>
      </c>
      <c r="M56" s="213">
        <v>578362.29604326596</v>
      </c>
      <c r="N56" s="213">
        <v>576523.30260148912</v>
      </c>
      <c r="P56" s="75"/>
    </row>
    <row r="57" spans="2:16">
      <c r="B57" s="217" t="s">
        <v>167</v>
      </c>
      <c r="G57" s="213">
        <v>2594413</v>
      </c>
      <c r="H57" s="213">
        <v>1521075</v>
      </c>
      <c r="I57" s="213">
        <v>1119313</v>
      </c>
      <c r="J57" s="213">
        <v>863240.22561853332</v>
      </c>
      <c r="K57" s="213">
        <v>721288.49664014322</v>
      </c>
      <c r="L57" s="213">
        <v>626437.65041591553</v>
      </c>
      <c r="M57" s="213">
        <v>564574.65351144224</v>
      </c>
      <c r="N57" s="213">
        <v>521185.47039561818</v>
      </c>
      <c r="P57" s="75"/>
    </row>
    <row r="58" spans="2:16">
      <c r="B58" s="217" t="s">
        <v>168</v>
      </c>
      <c r="G58" s="213">
        <v>2162809</v>
      </c>
      <c r="H58" s="213">
        <v>1389783</v>
      </c>
      <c r="I58" s="213">
        <v>612297</v>
      </c>
      <c r="J58" s="213">
        <v>421290.51477328467</v>
      </c>
      <c r="K58" s="213">
        <v>295065.15969631122</v>
      </c>
      <c r="L58" s="213">
        <v>234909.09966857161</v>
      </c>
      <c r="M58" s="213">
        <v>195244.26413523007</v>
      </c>
      <c r="N58" s="213">
        <v>170962.21815858764</v>
      </c>
      <c r="P58" s="75"/>
    </row>
    <row r="59" spans="2:16">
      <c r="B59" s="217" t="s">
        <v>123</v>
      </c>
      <c r="G59" s="213">
        <v>44000</v>
      </c>
      <c r="H59" s="213">
        <v>626000</v>
      </c>
      <c r="I59" s="213">
        <v>1204000</v>
      </c>
      <c r="J59" s="213">
        <v>1337600.8481278564</v>
      </c>
      <c r="K59" s="213">
        <v>1445186.0284195659</v>
      </c>
      <c r="L59" s="213">
        <v>1527837.9128990606</v>
      </c>
      <c r="M59" s="213">
        <v>1584198.0001114954</v>
      </c>
      <c r="N59" s="213">
        <v>1621839.9595892271</v>
      </c>
      <c r="P59" s="75"/>
    </row>
    <row r="60" spans="2:16">
      <c r="B60" s="230" t="s">
        <v>124</v>
      </c>
      <c r="G60" s="213">
        <v>956000</v>
      </c>
      <c r="H60" s="213">
        <v>1224000</v>
      </c>
      <c r="I60" s="213">
        <v>768000</v>
      </c>
      <c r="J60" s="213">
        <v>814756.96200114291</v>
      </c>
      <c r="K60" s="213">
        <v>839275.10635769111</v>
      </c>
      <c r="L60" s="213">
        <v>860985.36009093001</v>
      </c>
      <c r="M60" s="213">
        <v>876224.88196189597</v>
      </c>
      <c r="N60" s="213">
        <v>888171.03309943806</v>
      </c>
      <c r="P60" s="75"/>
    </row>
    <row r="61" spans="2:16">
      <c r="B61" s="230" t="s">
        <v>125</v>
      </c>
      <c r="G61" s="213">
        <v>621000</v>
      </c>
      <c r="H61" s="213">
        <v>103000</v>
      </c>
      <c r="I61" s="213">
        <v>410000</v>
      </c>
      <c r="J61" s="213">
        <v>405223.78584234131</v>
      </c>
      <c r="K61" s="213">
        <v>374250.13707949349</v>
      </c>
      <c r="L61" s="213">
        <v>308128.9000128826</v>
      </c>
      <c r="M61" s="213">
        <v>268546.79343345424</v>
      </c>
      <c r="N61" s="213">
        <v>227454.39266265798</v>
      </c>
      <c r="P61" s="75"/>
    </row>
    <row r="62" spans="2:16">
      <c r="B62" s="230" t="s">
        <v>126</v>
      </c>
      <c r="G62" s="213">
        <v>447000</v>
      </c>
      <c r="H62" s="213">
        <v>968000</v>
      </c>
      <c r="I62" s="213">
        <v>1170000</v>
      </c>
      <c r="J62" s="213">
        <v>1272213.525894929</v>
      </c>
      <c r="K62" s="213">
        <v>1374539.5088251331</v>
      </c>
      <c r="L62" s="213">
        <v>1453151.0359654534</v>
      </c>
      <c r="M62" s="213">
        <v>1506756.0148891984</v>
      </c>
      <c r="N62" s="213">
        <v>1542557.883627384</v>
      </c>
      <c r="O62" s="146"/>
      <c r="P62" s="75"/>
    </row>
    <row r="63" spans="2:16">
      <c r="B63" s="230" t="s">
        <v>127</v>
      </c>
      <c r="G63" s="213">
        <v>2223000.0000000009</v>
      </c>
      <c r="H63" s="213">
        <v>3789000.0000000005</v>
      </c>
      <c r="I63" s="213">
        <v>4962000</v>
      </c>
      <c r="J63" s="213">
        <v>5512604.1598093212</v>
      </c>
      <c r="K63" s="213">
        <v>5955990.9244334595</v>
      </c>
      <c r="L63" s="213">
        <v>6296621.0330607463</v>
      </c>
      <c r="M63" s="213">
        <v>6528895.7446455481</v>
      </c>
      <c r="N63" s="213">
        <v>6684028.1391044389</v>
      </c>
      <c r="P63" s="75"/>
    </row>
    <row r="64" spans="2:16">
      <c r="B64" s="230" t="s">
        <v>128</v>
      </c>
      <c r="G64" s="213">
        <v>600</v>
      </c>
      <c r="H64" s="213">
        <v>1500</v>
      </c>
      <c r="I64" s="213">
        <v>1500</v>
      </c>
      <c r="J64" s="213">
        <v>1700</v>
      </c>
      <c r="K64" s="213">
        <v>1600</v>
      </c>
      <c r="L64" s="213">
        <v>600</v>
      </c>
      <c r="M64" s="213">
        <v>500</v>
      </c>
      <c r="N64" s="213">
        <v>300</v>
      </c>
      <c r="P64" s="75"/>
    </row>
    <row r="65" spans="2:20">
      <c r="B65" s="230" t="s">
        <v>129</v>
      </c>
      <c r="G65" s="213">
        <v>10000</v>
      </c>
      <c r="H65" s="213">
        <v>13000</v>
      </c>
      <c r="I65" s="213">
        <v>13000</v>
      </c>
      <c r="J65" s="213">
        <v>13000</v>
      </c>
      <c r="K65" s="213">
        <v>13000</v>
      </c>
      <c r="L65" s="213">
        <v>13000</v>
      </c>
      <c r="M65" s="213">
        <v>13000</v>
      </c>
      <c r="N65" s="213">
        <v>13000</v>
      </c>
      <c r="P65" s="75"/>
    </row>
    <row r="66" spans="2:20">
      <c r="G66" s="213"/>
      <c r="H66" s="213"/>
      <c r="I66" s="213"/>
      <c r="J66" s="213"/>
      <c r="K66" s="213"/>
      <c r="L66" s="213"/>
      <c r="M66" s="213"/>
      <c r="N66" s="213"/>
      <c r="P66" s="75"/>
    </row>
    <row r="67" spans="2:20">
      <c r="B67" s="112" t="s">
        <v>381</v>
      </c>
      <c r="G67" s="213"/>
      <c r="H67" s="213"/>
      <c r="I67" s="213"/>
      <c r="J67" s="213"/>
      <c r="K67" s="213"/>
      <c r="L67" s="213"/>
      <c r="M67" s="213"/>
      <c r="N67" s="213"/>
      <c r="P67" s="75"/>
    </row>
    <row r="68" spans="2:20">
      <c r="B68" s="217" t="s">
        <v>349</v>
      </c>
      <c r="G68" s="213">
        <v>0</v>
      </c>
      <c r="H68" s="213">
        <v>0</v>
      </c>
      <c r="I68" s="213">
        <v>0</v>
      </c>
      <c r="J68" s="213">
        <v>551260.41598093207</v>
      </c>
      <c r="K68" s="213">
        <v>595599.09244334593</v>
      </c>
      <c r="L68" s="213">
        <v>629662.10330607463</v>
      </c>
      <c r="M68" s="213">
        <v>652889.57446455478</v>
      </c>
      <c r="N68" s="213">
        <v>668402.8139104438</v>
      </c>
      <c r="P68" s="75"/>
    </row>
    <row r="69" spans="2:20">
      <c r="B69" s="237" t="s">
        <v>269</v>
      </c>
      <c r="G69" s="213">
        <v>0</v>
      </c>
      <c r="H69" s="213">
        <v>0</v>
      </c>
      <c r="I69" s="213">
        <v>0</v>
      </c>
      <c r="J69" s="213">
        <v>10000</v>
      </c>
      <c r="K69" s="213">
        <v>9452.6742736101041</v>
      </c>
      <c r="L69" s="213">
        <v>8895.4197081131333</v>
      </c>
      <c r="M69" s="213">
        <v>8594.6865324269129</v>
      </c>
      <c r="N69" s="213">
        <v>8399.435169407996</v>
      </c>
      <c r="P69" s="75"/>
    </row>
    <row r="70" spans="2:20">
      <c r="B70" s="217" t="s">
        <v>374</v>
      </c>
      <c r="G70" s="213">
        <v>0</v>
      </c>
      <c r="H70" s="213">
        <v>0</v>
      </c>
      <c r="I70" s="213">
        <v>0</v>
      </c>
      <c r="J70" s="213">
        <v>988676.20682439173</v>
      </c>
      <c r="K70" s="213">
        <v>995637.52401004254</v>
      </c>
      <c r="L70" s="213">
        <v>1002915.4006545198</v>
      </c>
      <c r="M70" s="213">
        <v>1008897.0114481054</v>
      </c>
      <c r="N70" s="213">
        <v>1015353.8975256511</v>
      </c>
      <c r="P70" s="75"/>
    </row>
    <row r="71" spans="2:20">
      <c r="G71" s="213"/>
      <c r="H71" s="213"/>
      <c r="I71" s="213"/>
      <c r="J71" s="213"/>
      <c r="K71" s="213"/>
      <c r="L71" s="213"/>
      <c r="M71" s="213"/>
      <c r="N71" s="213"/>
      <c r="P71" s="75"/>
    </row>
    <row r="72" spans="2:20">
      <c r="B72" s="112" t="s">
        <v>379</v>
      </c>
      <c r="G72" s="213"/>
      <c r="H72" s="213"/>
      <c r="I72" s="213"/>
      <c r="J72" s="213"/>
      <c r="K72" s="213"/>
      <c r="L72" s="213"/>
      <c r="M72" s="213"/>
      <c r="N72" s="213"/>
      <c r="P72" s="75"/>
    </row>
    <row r="73" spans="2:20" s="103" customFormat="1">
      <c r="B73" s="230" t="s">
        <v>134</v>
      </c>
      <c r="G73" s="213">
        <v>2675000</v>
      </c>
      <c r="H73" s="213">
        <v>2115000</v>
      </c>
      <c r="I73" s="213">
        <v>2235000</v>
      </c>
      <c r="J73" s="213">
        <v>2310854.9929996976</v>
      </c>
      <c r="K73" s="213">
        <v>2323422.6730808145</v>
      </c>
      <c r="L73" s="213">
        <v>2345222.5771464249</v>
      </c>
      <c r="M73" s="213">
        <v>2361927.4174696412</v>
      </c>
      <c r="N73" s="213">
        <v>2380554.3991697249</v>
      </c>
      <c r="P73" s="75"/>
      <c r="S73" s="173"/>
      <c r="T73" s="185"/>
    </row>
    <row r="74" spans="2:20" s="103" customFormat="1">
      <c r="B74" s="230" t="s">
        <v>133</v>
      </c>
      <c r="G74" s="213">
        <v>103000</v>
      </c>
      <c r="H74" s="213">
        <v>202000</v>
      </c>
      <c r="I74" s="213">
        <v>398000</v>
      </c>
      <c r="J74" s="213">
        <v>81477.899999999994</v>
      </c>
      <c r="K74" s="213">
        <v>57034.529999999992</v>
      </c>
      <c r="L74" s="213">
        <v>39924.170999999995</v>
      </c>
      <c r="M74" s="213">
        <v>27946.919699999995</v>
      </c>
      <c r="N74" s="213">
        <v>19562.843789999995</v>
      </c>
      <c r="P74" s="75"/>
      <c r="S74" s="173"/>
      <c r="T74" s="185"/>
    </row>
    <row r="75" spans="2:20" s="103" customFormat="1">
      <c r="B75" s="230" t="s">
        <v>132</v>
      </c>
      <c r="G75" s="213">
        <v>324000</v>
      </c>
      <c r="H75" s="213">
        <v>393000</v>
      </c>
      <c r="I75" s="213">
        <v>312000</v>
      </c>
      <c r="J75" s="213">
        <v>252477.62141576584</v>
      </c>
      <c r="K75" s="213">
        <v>215052.6077078165</v>
      </c>
      <c r="L75" s="213">
        <v>184239.71770652823</v>
      </c>
      <c r="M75" s="213">
        <v>157385.0383631828</v>
      </c>
      <c r="N75" s="213">
        <v>134639.59909691699</v>
      </c>
      <c r="P75" s="75"/>
      <c r="S75" s="173"/>
      <c r="T75" s="185"/>
    </row>
    <row r="76" spans="2:20" s="103" customFormat="1">
      <c r="B76" s="230" t="s">
        <v>131</v>
      </c>
      <c r="G76" s="213">
        <v>3002000</v>
      </c>
      <c r="H76" s="213">
        <v>2715000</v>
      </c>
      <c r="I76" s="213">
        <v>2566000</v>
      </c>
      <c r="J76" s="213">
        <v>2112156.7687718449</v>
      </c>
      <c r="K76" s="213">
        <v>2082303.1963951141</v>
      </c>
      <c r="L76" s="213">
        <v>2073366.0542217651</v>
      </c>
      <c r="M76" s="213">
        <v>2069392.0450590337</v>
      </c>
      <c r="N76" s="213">
        <v>2075347.6659745118</v>
      </c>
      <c r="P76" s="75"/>
      <c r="S76" s="173"/>
      <c r="T76" s="185"/>
    </row>
    <row r="77" spans="2:20" s="103" customFormat="1">
      <c r="B77" s="230" t="s">
        <v>135</v>
      </c>
      <c r="G77" s="213">
        <v>12091000.000000002</v>
      </c>
      <c r="H77" s="213">
        <v>11279499.999999998</v>
      </c>
      <c r="I77" s="213">
        <v>11166500</v>
      </c>
      <c r="J77" s="213">
        <v>11255688.211792326</v>
      </c>
      <c r="K77" s="213">
        <v>11316902.73583954</v>
      </c>
      <c r="L77" s="213">
        <v>11423085.479435656</v>
      </c>
      <c r="M77" s="213">
        <v>11504451.2401067</v>
      </c>
      <c r="N77" s="213">
        <v>11595179.346793631</v>
      </c>
      <c r="P77" s="75"/>
      <c r="S77" s="173"/>
      <c r="T77" s="185"/>
    </row>
    <row r="78" spans="2:20" s="103" customFormat="1">
      <c r="B78" s="230" t="s">
        <v>130</v>
      </c>
      <c r="G78" s="213">
        <v>0</v>
      </c>
      <c r="H78" s="213">
        <v>0</v>
      </c>
      <c r="I78" s="213">
        <v>930000</v>
      </c>
      <c r="J78" s="213">
        <v>977947.5400584013</v>
      </c>
      <c r="K78" s="213">
        <v>997692.7072564601</v>
      </c>
      <c r="L78" s="213">
        <v>1016990.4897747397</v>
      </c>
      <c r="M78" s="213">
        <v>1030774.9474341021</v>
      </c>
      <c r="N78" s="213">
        <v>1042520.8163003107</v>
      </c>
      <c r="P78" s="75"/>
      <c r="S78" s="173"/>
      <c r="T78" s="185"/>
    </row>
    <row r="79" spans="2:20" s="103" customFormat="1">
      <c r="B79" s="73"/>
      <c r="G79" s="213"/>
      <c r="H79" s="213"/>
      <c r="I79" s="213"/>
      <c r="J79" s="213"/>
      <c r="K79" s="213"/>
      <c r="L79" s="213"/>
      <c r="M79" s="213"/>
      <c r="N79" s="213"/>
      <c r="P79" s="75"/>
      <c r="S79" s="173"/>
      <c r="T79" s="185"/>
    </row>
    <row r="80" spans="2:20" s="103" customFormat="1">
      <c r="B80" s="112" t="s">
        <v>382</v>
      </c>
      <c r="G80" s="213"/>
      <c r="H80" s="213"/>
      <c r="I80" s="213"/>
      <c r="J80" s="213"/>
      <c r="K80" s="213"/>
      <c r="L80" s="213"/>
      <c r="M80" s="213"/>
      <c r="N80" s="213"/>
      <c r="P80" s="75"/>
      <c r="S80" s="173"/>
      <c r="T80" s="185"/>
    </row>
    <row r="81" spans="2:20" s="103" customFormat="1">
      <c r="B81" s="217" t="s">
        <v>335</v>
      </c>
      <c r="G81" s="213">
        <v>0</v>
      </c>
      <c r="H81" s="213">
        <v>0</v>
      </c>
      <c r="I81" s="213">
        <v>0</v>
      </c>
      <c r="J81" s="213">
        <v>772342.91685943492</v>
      </c>
      <c r="K81" s="213">
        <v>711850.94077250978</v>
      </c>
      <c r="L81" s="213">
        <v>708584.85665464588</v>
      </c>
      <c r="M81" s="213">
        <v>689799.60543702275</v>
      </c>
      <c r="N81" s="213">
        <v>686527.33289933519</v>
      </c>
      <c r="P81" s="75"/>
      <c r="S81" s="173"/>
      <c r="T81" s="185"/>
    </row>
    <row r="82" spans="2:20" s="103" customFormat="1">
      <c r="B82" s="217" t="s">
        <v>370</v>
      </c>
      <c r="G82" s="213">
        <v>104970.56314897224</v>
      </c>
      <c r="H82" s="213">
        <v>151000</v>
      </c>
      <c r="I82" s="213">
        <v>367000</v>
      </c>
      <c r="J82" s="213">
        <v>298758.32272691338</v>
      </c>
      <c r="K82" s="213">
        <v>322787.88884090807</v>
      </c>
      <c r="L82" s="213">
        <v>341248.50690336927</v>
      </c>
      <c r="M82" s="213">
        <v>353836.75036022451</v>
      </c>
      <c r="N82" s="213">
        <v>362244.22759340779</v>
      </c>
      <c r="P82" s="75"/>
      <c r="S82" s="173"/>
      <c r="T82" s="185"/>
    </row>
    <row r="83" spans="2:20" s="103" customFormat="1">
      <c r="B83" s="217" t="s">
        <v>371</v>
      </c>
      <c r="G83" s="213">
        <v>342029.43685102777</v>
      </c>
      <c r="H83" s="213">
        <v>817000</v>
      </c>
      <c r="I83" s="213">
        <v>803000</v>
      </c>
      <c r="J83" s="213">
        <v>973455.20316801558</v>
      </c>
      <c r="K83" s="213">
        <v>1051751.6199842249</v>
      </c>
      <c r="L83" s="213">
        <v>1111902.5290620842</v>
      </c>
      <c r="M83" s="213">
        <v>1152919.264528974</v>
      </c>
      <c r="N83" s="213">
        <v>1180313.6560339762</v>
      </c>
      <c r="P83" s="75"/>
      <c r="S83" s="173"/>
      <c r="T83" s="185"/>
    </row>
    <row r="84" spans="2:20" s="103" customFormat="1">
      <c r="B84" s="217" t="s">
        <v>375</v>
      </c>
      <c r="G84" s="213">
        <v>547057.80855823692</v>
      </c>
      <c r="H84" s="213">
        <v>408000</v>
      </c>
      <c r="I84" s="213">
        <v>483000</v>
      </c>
      <c r="J84" s="213">
        <v>472587.39004346711</v>
      </c>
      <c r="K84" s="213">
        <v>475157.57603368652</v>
      </c>
      <c r="L84" s="213">
        <v>479615.82191963511</v>
      </c>
      <c r="M84" s="213">
        <v>483032.08858861978</v>
      </c>
      <c r="N84" s="213">
        <v>486841.44776204118</v>
      </c>
      <c r="P84" s="75"/>
      <c r="S84" s="173"/>
      <c r="T84" s="185"/>
    </row>
    <row r="85" spans="2:20" s="103" customFormat="1">
      <c r="B85" s="217" t="s">
        <v>376</v>
      </c>
      <c r="G85" s="213">
        <v>2127942.1914417632</v>
      </c>
      <c r="H85" s="213">
        <v>1707000</v>
      </c>
      <c r="I85" s="213">
        <v>1752000</v>
      </c>
      <c r="J85" s="213">
        <v>1838267.6029562305</v>
      </c>
      <c r="K85" s="213">
        <v>1848265.097047128</v>
      </c>
      <c r="L85" s="213">
        <v>1865606.7552267897</v>
      </c>
      <c r="M85" s="213">
        <v>1878895.3288810214</v>
      </c>
      <c r="N85" s="213">
        <v>1893712.9514076838</v>
      </c>
      <c r="P85" s="75"/>
      <c r="S85" s="173"/>
      <c r="T85" s="185"/>
    </row>
    <row r="86" spans="2:20" s="103" customFormat="1">
      <c r="B86" s="217"/>
      <c r="G86" s="213"/>
      <c r="H86" s="213"/>
      <c r="I86" s="213"/>
      <c r="J86" s="213"/>
      <c r="K86" s="213"/>
      <c r="L86" s="213"/>
      <c r="M86" s="213"/>
      <c r="N86" s="213"/>
      <c r="P86" s="75"/>
      <c r="S86" s="173"/>
      <c r="T86" s="185"/>
    </row>
    <row r="87" spans="2:20" s="103" customFormat="1">
      <c r="B87" s="112" t="s">
        <v>268</v>
      </c>
      <c r="G87" s="213">
        <v>24421999.999999996</v>
      </c>
      <c r="H87" s="213">
        <v>24481500</v>
      </c>
      <c r="I87" s="213">
        <v>24363500.000000004</v>
      </c>
      <c r="J87" s="213">
        <v>24349633.181310281</v>
      </c>
      <c r="K87" s="213">
        <v>24439288.183413319</v>
      </c>
      <c r="L87" s="213">
        <v>24463627.357756861</v>
      </c>
      <c r="M87" s="213">
        <v>24549271.760246381</v>
      </c>
      <c r="N87" s="213">
        <v>24647105.548731551</v>
      </c>
      <c r="P87" s="75"/>
      <c r="S87" s="173"/>
      <c r="T87" s="185"/>
    </row>
    <row r="89" spans="2:20" ht="15.75">
      <c r="B89" s="70" t="s">
        <v>266</v>
      </c>
      <c r="C89" s="70"/>
      <c r="D89" s="70"/>
      <c r="E89" s="70"/>
      <c r="F89" s="72"/>
      <c r="G89" s="70"/>
      <c r="H89" s="70"/>
      <c r="I89" s="70"/>
      <c r="J89" s="70"/>
      <c r="K89" s="70"/>
      <c r="L89" s="70"/>
      <c r="M89" s="70"/>
      <c r="N89" s="70"/>
    </row>
    <row r="90" spans="2:20">
      <c r="B90" s="74" t="s">
        <v>114</v>
      </c>
      <c r="C90" s="74"/>
      <c r="D90" s="74"/>
      <c r="E90" s="74"/>
      <c r="F90" s="74"/>
      <c r="G90" s="214" t="s">
        <v>91</v>
      </c>
      <c r="H90" s="214" t="s">
        <v>92</v>
      </c>
      <c r="I90" s="214" t="s">
        <v>93</v>
      </c>
      <c r="J90" s="214" t="s">
        <v>94</v>
      </c>
      <c r="K90" s="214" t="s">
        <v>95</v>
      </c>
      <c r="L90" s="214" t="s">
        <v>96</v>
      </c>
      <c r="M90" s="214" t="s">
        <v>97</v>
      </c>
      <c r="N90" s="214" t="s">
        <v>98</v>
      </c>
    </row>
    <row r="91" spans="2:20">
      <c r="B91" s="112" t="s">
        <v>380</v>
      </c>
      <c r="G91" s="213"/>
      <c r="H91" s="213"/>
      <c r="I91" s="213"/>
      <c r="J91" s="213"/>
      <c r="K91" s="213"/>
      <c r="L91" s="213"/>
      <c r="M91" s="213"/>
      <c r="N91" s="213"/>
      <c r="P91" s="75"/>
      <c r="Q91" s="154"/>
    </row>
    <row r="92" spans="2:20">
      <c r="B92" s="230" t="s">
        <v>117</v>
      </c>
      <c r="G92" s="213">
        <v>13728813</v>
      </c>
      <c r="H92" s="213">
        <v>12250928</v>
      </c>
      <c r="I92" s="213">
        <v>11418728</v>
      </c>
      <c r="J92" s="213">
        <v>11133336.090905273</v>
      </c>
      <c r="K92" s="213">
        <v>10713807.119330265</v>
      </c>
      <c r="L92" s="213">
        <v>10287821.204746993</v>
      </c>
      <c r="M92" s="213">
        <v>9908558.573047787</v>
      </c>
      <c r="N92" s="213">
        <v>9553766.9010962695</v>
      </c>
      <c r="P92" s="75"/>
      <c r="Q92" s="154"/>
    </row>
    <row r="93" spans="2:20">
      <c r="B93" s="230" t="s">
        <v>118</v>
      </c>
      <c r="G93" s="213">
        <v>3176807</v>
      </c>
      <c r="H93" s="213">
        <v>3127373</v>
      </c>
      <c r="I93" s="213">
        <v>3191445</v>
      </c>
      <c r="J93" s="213">
        <v>2839907.5317295431</v>
      </c>
      <c r="K93" s="213">
        <v>2732893.4726526882</v>
      </c>
      <c r="L93" s="213">
        <v>2624232.3671800913</v>
      </c>
      <c r="M93" s="213">
        <v>2527489.5045312224</v>
      </c>
      <c r="N93" s="213">
        <v>2436988.7298179613</v>
      </c>
      <c r="P93" s="75"/>
      <c r="Q93" s="154"/>
    </row>
    <row r="94" spans="2:20">
      <c r="B94" s="230" t="s">
        <v>119</v>
      </c>
      <c r="G94" s="213">
        <v>3609219</v>
      </c>
      <c r="H94" s="213">
        <v>3487124</v>
      </c>
      <c r="I94" s="213">
        <v>3026492</v>
      </c>
      <c r="J94" s="213">
        <v>3015954.7305749389</v>
      </c>
      <c r="K94" s="213">
        <v>2902306.8198226099</v>
      </c>
      <c r="L94" s="213">
        <v>2786909.7614965602</v>
      </c>
      <c r="M94" s="213">
        <v>2684169.7634524959</v>
      </c>
      <c r="N94" s="213">
        <v>2588058.8033005898</v>
      </c>
      <c r="P94" s="75"/>
      <c r="Q94" s="154"/>
    </row>
    <row r="95" spans="2:20">
      <c r="B95" s="230" t="s">
        <v>120</v>
      </c>
      <c r="G95" s="213">
        <v>1684192</v>
      </c>
      <c r="H95" s="213">
        <v>1826284</v>
      </c>
      <c r="I95" s="213">
        <v>1762117</v>
      </c>
      <c r="J95" s="213">
        <v>1576545.5912672966</v>
      </c>
      <c r="K95" s="213">
        <v>1517137.8319806817</v>
      </c>
      <c r="L95" s="213">
        <v>1456815.7317499309</v>
      </c>
      <c r="M95" s="213">
        <v>1403109.9220038068</v>
      </c>
      <c r="N95" s="213">
        <v>1352869.3434686414</v>
      </c>
      <c r="P95" s="75"/>
      <c r="Q95" s="154"/>
    </row>
    <row r="96" spans="2:20">
      <c r="B96" s="217" t="s">
        <v>163</v>
      </c>
      <c r="G96" s="213">
        <v>22198999.999999996</v>
      </c>
      <c r="H96" s="213">
        <v>20692500</v>
      </c>
      <c r="I96" s="213">
        <v>19401500.000000004</v>
      </c>
      <c r="J96" s="213">
        <v>18565743.944477051</v>
      </c>
      <c r="K96" s="213">
        <v>17866145.243786246</v>
      </c>
      <c r="L96" s="213">
        <v>17155779.065173578</v>
      </c>
      <c r="M96" s="213">
        <v>16523327.763035312</v>
      </c>
      <c r="N96" s="213">
        <v>15931683.777683463</v>
      </c>
      <c r="P96" s="75"/>
      <c r="Q96" s="154"/>
    </row>
    <row r="97" spans="2:17">
      <c r="B97" s="230" t="s">
        <v>121</v>
      </c>
      <c r="G97" s="213">
        <v>562789</v>
      </c>
      <c r="H97" s="213">
        <v>555669</v>
      </c>
      <c r="I97" s="213">
        <v>569401</v>
      </c>
      <c r="J97" s="213">
        <v>505531.07668419625</v>
      </c>
      <c r="K97" s="213">
        <v>486481.53654916177</v>
      </c>
      <c r="L97" s="213">
        <v>467138.80618575343</v>
      </c>
      <c r="M97" s="213">
        <v>449917.63860548043</v>
      </c>
      <c r="N97" s="213">
        <v>433807.62320167408</v>
      </c>
      <c r="O97" s="75"/>
      <c r="P97" s="75"/>
      <c r="Q97" s="154"/>
    </row>
    <row r="98" spans="2:17">
      <c r="B98" s="230" t="s">
        <v>122</v>
      </c>
      <c r="G98" s="213">
        <v>408693</v>
      </c>
      <c r="H98" s="213">
        <v>330002</v>
      </c>
      <c r="I98" s="213">
        <v>317101</v>
      </c>
      <c r="J98" s="213">
        <v>313606.93158784573</v>
      </c>
      <c r="K98" s="213">
        <v>301789.5219261254</v>
      </c>
      <c r="L98" s="213">
        <v>289790.23128392233</v>
      </c>
      <c r="M98" s="213">
        <v>279107.05517013557</v>
      </c>
      <c r="N98" s="213">
        <v>269113.18390952313</v>
      </c>
      <c r="P98" s="75"/>
      <c r="Q98" s="154"/>
    </row>
    <row r="99" spans="2:17">
      <c r="B99" s="236" t="s">
        <v>225</v>
      </c>
      <c r="G99" s="213">
        <v>717579</v>
      </c>
      <c r="H99" s="213">
        <v>739455</v>
      </c>
      <c r="I99" s="213">
        <v>534313</v>
      </c>
      <c r="J99" s="213">
        <v>595865.82911383791</v>
      </c>
      <c r="K99" s="213">
        <v>573412.27373352135</v>
      </c>
      <c r="L99" s="213">
        <v>550613.13714845688</v>
      </c>
      <c r="M99" s="213">
        <v>530314.6712938284</v>
      </c>
      <c r="N99" s="213">
        <v>511325.91248479771</v>
      </c>
      <c r="P99" s="75"/>
      <c r="Q99" s="154"/>
    </row>
    <row r="100" spans="2:17">
      <c r="B100" s="217" t="s">
        <v>167</v>
      </c>
      <c r="G100" s="213">
        <v>2594413</v>
      </c>
      <c r="H100" s="213">
        <v>1521075</v>
      </c>
      <c r="I100" s="213">
        <v>1119313</v>
      </c>
      <c r="J100" s="213">
        <v>863240.22561853332</v>
      </c>
      <c r="K100" s="213">
        <v>721288.49664014322</v>
      </c>
      <c r="L100" s="213">
        <v>626437.65041591553</v>
      </c>
      <c r="M100" s="213">
        <v>564574.65351144224</v>
      </c>
      <c r="N100" s="213">
        <v>521185.47039561818</v>
      </c>
      <c r="P100" s="75"/>
      <c r="Q100" s="154"/>
    </row>
    <row r="101" spans="2:17">
      <c r="B101" s="217" t="s">
        <v>168</v>
      </c>
      <c r="G101" s="213">
        <v>2162809</v>
      </c>
      <c r="H101" s="213">
        <v>1389783</v>
      </c>
      <c r="I101" s="213">
        <v>612297</v>
      </c>
      <c r="J101" s="213">
        <v>421290.51477328467</v>
      </c>
      <c r="K101" s="213">
        <v>295065.15969631122</v>
      </c>
      <c r="L101" s="213">
        <v>234909.09966857161</v>
      </c>
      <c r="M101" s="213">
        <v>195244.26413523007</v>
      </c>
      <c r="N101" s="213">
        <v>170962.21815858764</v>
      </c>
      <c r="P101" s="75"/>
      <c r="Q101" s="154"/>
    </row>
    <row r="102" spans="2:17">
      <c r="B102" s="217" t="s">
        <v>123</v>
      </c>
      <c r="G102" s="213">
        <v>44000</v>
      </c>
      <c r="H102" s="213">
        <v>626000</v>
      </c>
      <c r="I102" s="213">
        <v>1204000</v>
      </c>
      <c r="J102" s="213">
        <v>1421532.8465967907</v>
      </c>
      <c r="K102" s="213">
        <v>1628151.9714840297</v>
      </c>
      <c r="L102" s="213">
        <v>1832538.7154270546</v>
      </c>
      <c r="M102" s="213">
        <v>2023749.8498994277</v>
      </c>
      <c r="N102" s="213">
        <v>2206509.1525800386</v>
      </c>
      <c r="P102" s="75"/>
      <c r="Q102" s="154"/>
    </row>
    <row r="103" spans="2:17">
      <c r="B103" s="230" t="s">
        <v>124</v>
      </c>
      <c r="G103" s="213">
        <v>956000</v>
      </c>
      <c r="H103" s="213">
        <v>1224000</v>
      </c>
      <c r="I103" s="213">
        <v>768000</v>
      </c>
      <c r="J103" s="213">
        <v>823638.95150585298</v>
      </c>
      <c r="K103" s="213">
        <v>857751.39979801059</v>
      </c>
      <c r="L103" s="213">
        <v>890950.27200153994</v>
      </c>
      <c r="M103" s="213">
        <v>918757.17837742227</v>
      </c>
      <c r="N103" s="213">
        <v>943105.27032018744</v>
      </c>
      <c r="P103" s="75"/>
      <c r="Q103" s="154"/>
    </row>
    <row r="104" spans="2:17">
      <c r="B104" s="230" t="s">
        <v>125</v>
      </c>
      <c r="G104" s="213">
        <v>621000</v>
      </c>
      <c r="H104" s="213">
        <v>103000</v>
      </c>
      <c r="I104" s="213">
        <v>410000</v>
      </c>
      <c r="J104" s="213">
        <v>493999.99999999977</v>
      </c>
      <c r="K104" s="213">
        <v>508000</v>
      </c>
      <c r="L104" s="213">
        <v>508000</v>
      </c>
      <c r="M104" s="213">
        <v>508000</v>
      </c>
      <c r="N104" s="213">
        <v>508000</v>
      </c>
      <c r="P104" s="75"/>
      <c r="Q104" s="154"/>
    </row>
    <row r="105" spans="2:17">
      <c r="B105" s="230" t="s">
        <v>126</v>
      </c>
      <c r="G105" s="213">
        <v>447000</v>
      </c>
      <c r="H105" s="213">
        <v>968000</v>
      </c>
      <c r="I105" s="213">
        <v>1170000</v>
      </c>
      <c r="J105" s="213">
        <v>1352042.5898918773</v>
      </c>
      <c r="K105" s="213">
        <v>1548561.3389327666</v>
      </c>
      <c r="L105" s="213">
        <v>1742956.8348102369</v>
      </c>
      <c r="M105" s="213">
        <v>1924820.7981278014</v>
      </c>
      <c r="N105" s="213">
        <v>2098646.0892666522</v>
      </c>
      <c r="O105" s="146"/>
      <c r="P105" s="75"/>
      <c r="Q105" s="154"/>
    </row>
    <row r="106" spans="2:17">
      <c r="B106" s="230" t="s">
        <v>127</v>
      </c>
      <c r="G106" s="213">
        <v>2223000.0000000009</v>
      </c>
      <c r="H106" s="213">
        <v>3789000.0000000005</v>
      </c>
      <c r="I106" s="213">
        <v>4962000</v>
      </c>
      <c r="J106" s="213">
        <v>5858509.9541638503</v>
      </c>
      <c r="K106" s="213">
        <v>6710041.5967639163</v>
      </c>
      <c r="L106" s="213">
        <v>7552373.0115855848</v>
      </c>
      <c r="M106" s="213">
        <v>8340404.281728372</v>
      </c>
      <c r="N106" s="213">
        <v>9093603.3348024506</v>
      </c>
      <c r="P106" s="75"/>
      <c r="Q106" s="154"/>
    </row>
    <row r="107" spans="2:17">
      <c r="B107" s="230" t="s">
        <v>128</v>
      </c>
      <c r="G107" s="213">
        <v>600</v>
      </c>
      <c r="H107" s="213">
        <v>1500</v>
      </c>
      <c r="I107" s="213">
        <v>1500</v>
      </c>
      <c r="J107" s="213">
        <v>1700</v>
      </c>
      <c r="K107" s="213">
        <v>1600</v>
      </c>
      <c r="L107" s="213">
        <v>600</v>
      </c>
      <c r="M107" s="213">
        <v>500</v>
      </c>
      <c r="N107" s="213">
        <v>300</v>
      </c>
      <c r="P107" s="75"/>
      <c r="Q107" s="154"/>
    </row>
    <row r="108" spans="2:17">
      <c r="B108" s="230" t="s">
        <v>129</v>
      </c>
      <c r="G108" s="213">
        <v>10000</v>
      </c>
      <c r="H108" s="213">
        <v>13000</v>
      </c>
      <c r="I108" s="213">
        <v>13000</v>
      </c>
      <c r="J108" s="213">
        <v>13000</v>
      </c>
      <c r="K108" s="213">
        <v>13000</v>
      </c>
      <c r="L108" s="213">
        <v>13000</v>
      </c>
      <c r="M108" s="213">
        <v>13000</v>
      </c>
      <c r="N108" s="213">
        <v>13000</v>
      </c>
      <c r="P108" s="75"/>
      <c r="Q108" s="154"/>
    </row>
    <row r="109" spans="2:17">
      <c r="G109" s="213"/>
      <c r="H109" s="213"/>
      <c r="I109" s="213"/>
      <c r="J109" s="213"/>
      <c r="K109" s="213"/>
      <c r="L109" s="213"/>
      <c r="M109" s="213"/>
      <c r="N109" s="213"/>
      <c r="P109" s="75"/>
      <c r="Q109" s="154"/>
    </row>
    <row r="110" spans="2:17">
      <c r="B110" s="112" t="s">
        <v>381</v>
      </c>
      <c r="G110" s="213"/>
      <c r="H110" s="213"/>
      <c r="I110" s="213"/>
      <c r="J110" s="213"/>
      <c r="K110" s="213"/>
      <c r="L110" s="213"/>
      <c r="M110" s="213"/>
      <c r="N110" s="213"/>
      <c r="P110" s="75"/>
      <c r="Q110" s="154"/>
    </row>
    <row r="111" spans="2:17">
      <c r="B111" s="217" t="s">
        <v>349</v>
      </c>
      <c r="G111" s="213">
        <v>0</v>
      </c>
      <c r="H111" s="213">
        <v>0</v>
      </c>
      <c r="I111" s="213">
        <v>0</v>
      </c>
      <c r="J111" s="213">
        <v>585850.99541638501</v>
      </c>
      <c r="K111" s="213">
        <v>671004.15967639163</v>
      </c>
      <c r="L111" s="213">
        <v>755237.30115855846</v>
      </c>
      <c r="M111" s="213">
        <v>834040.42817283713</v>
      </c>
      <c r="N111" s="213">
        <v>909360.33348024497</v>
      </c>
      <c r="P111" s="75"/>
      <c r="Q111" s="154"/>
    </row>
    <row r="112" spans="2:17">
      <c r="B112" s="237" t="s">
        <v>269</v>
      </c>
      <c r="G112" s="213">
        <v>0</v>
      </c>
      <c r="H112" s="213">
        <v>0</v>
      </c>
      <c r="I112" s="213">
        <v>0</v>
      </c>
      <c r="J112" s="213">
        <v>10000</v>
      </c>
      <c r="K112" s="213">
        <v>9263.8644900565214</v>
      </c>
      <c r="L112" s="213">
        <v>8526.1692074480416</v>
      </c>
      <c r="M112" s="213">
        <v>7968.5654168160063</v>
      </c>
      <c r="N112" s="213">
        <v>7514.2111010154877</v>
      </c>
      <c r="P112" s="75"/>
      <c r="Q112" s="154"/>
    </row>
    <row r="113" spans="2:20">
      <c r="B113" s="217" t="s">
        <v>374</v>
      </c>
      <c r="G113" s="213">
        <v>0</v>
      </c>
      <c r="H113" s="213">
        <v>0</v>
      </c>
      <c r="I113" s="213">
        <v>0</v>
      </c>
      <c r="J113" s="213">
        <v>982050.78317551815</v>
      </c>
      <c r="K113" s="213">
        <v>978101.2511346119</v>
      </c>
      <c r="L113" s="213">
        <v>970352.79801811755</v>
      </c>
      <c r="M113" s="213">
        <v>957718.69498491962</v>
      </c>
      <c r="N113" s="213">
        <v>941778.56028541259</v>
      </c>
      <c r="P113" s="75"/>
      <c r="Q113" s="154"/>
    </row>
    <row r="114" spans="2:20">
      <c r="G114" s="213"/>
      <c r="H114" s="213"/>
      <c r="I114" s="213"/>
      <c r="J114" s="213"/>
      <c r="K114" s="213"/>
      <c r="L114" s="213"/>
      <c r="M114" s="213"/>
      <c r="N114" s="213"/>
      <c r="P114" s="75"/>
      <c r="Q114" s="154"/>
    </row>
    <row r="115" spans="2:20">
      <c r="B115" s="112" t="s">
        <v>379</v>
      </c>
      <c r="G115" s="213"/>
      <c r="H115" s="213"/>
      <c r="I115" s="213"/>
      <c r="J115" s="213"/>
      <c r="K115" s="213"/>
      <c r="L115" s="213"/>
      <c r="M115" s="213"/>
      <c r="N115" s="213"/>
      <c r="P115" s="75"/>
      <c r="Q115" s="154"/>
    </row>
    <row r="116" spans="2:20" s="103" customFormat="1">
      <c r="B116" s="230" t="s">
        <v>134</v>
      </c>
      <c r="G116" s="213">
        <v>2675000</v>
      </c>
      <c r="H116" s="213">
        <v>2115000</v>
      </c>
      <c r="I116" s="213">
        <v>2235000</v>
      </c>
      <c r="J116" s="213">
        <v>2277368.0245633414</v>
      </c>
      <c r="K116" s="213">
        <v>2246680.4772144505</v>
      </c>
      <c r="L116" s="213">
        <v>2214021.6202256358</v>
      </c>
      <c r="M116" s="213">
        <v>2169728.0079641179</v>
      </c>
      <c r="N116" s="213">
        <v>2117970.9842587304</v>
      </c>
      <c r="P116" s="75"/>
      <c r="S116" s="173"/>
      <c r="T116" s="185"/>
    </row>
    <row r="117" spans="2:20" s="103" customFormat="1">
      <c r="B117" s="230" t="s">
        <v>133</v>
      </c>
      <c r="G117" s="213">
        <v>103000</v>
      </c>
      <c r="H117" s="213">
        <v>202000</v>
      </c>
      <c r="I117" s="213">
        <v>398000</v>
      </c>
      <c r="J117" s="213">
        <v>81477.899999999994</v>
      </c>
      <c r="K117" s="213">
        <v>57034.529999999992</v>
      </c>
      <c r="L117" s="213">
        <v>39924.170999999995</v>
      </c>
      <c r="M117" s="213">
        <v>27946.919699999995</v>
      </c>
      <c r="N117" s="213">
        <v>19562.843789999995</v>
      </c>
      <c r="P117" s="75"/>
      <c r="S117" s="173"/>
      <c r="T117" s="185"/>
    </row>
    <row r="118" spans="2:20" s="103" customFormat="1">
      <c r="B118" s="230" t="s">
        <v>132</v>
      </c>
      <c r="G118" s="213">
        <v>324000</v>
      </c>
      <c r="H118" s="213">
        <v>393000</v>
      </c>
      <c r="I118" s="213">
        <v>312000</v>
      </c>
      <c r="J118" s="213">
        <v>243600</v>
      </c>
      <c r="K118" s="213">
        <v>192800</v>
      </c>
      <c r="L118" s="213">
        <v>142000</v>
      </c>
      <c r="M118" s="213">
        <v>91199.999999999985</v>
      </c>
      <c r="N118" s="213">
        <v>40399.999999999993</v>
      </c>
      <c r="P118" s="75"/>
      <c r="S118" s="173"/>
      <c r="T118" s="185"/>
    </row>
    <row r="119" spans="2:20" s="103" customFormat="1">
      <c r="B119" s="230" t="s">
        <v>131</v>
      </c>
      <c r="G119" s="213">
        <v>3002000</v>
      </c>
      <c r="H119" s="213">
        <v>2715000</v>
      </c>
      <c r="I119" s="213">
        <v>2566000</v>
      </c>
      <c r="J119" s="213">
        <v>2038970.1859225691</v>
      </c>
      <c r="K119" s="213">
        <v>1918447.5410094936</v>
      </c>
      <c r="L119" s="213">
        <v>1796572.8507491061</v>
      </c>
      <c r="M119" s="213">
        <v>1666718.3300171439</v>
      </c>
      <c r="N119" s="213">
        <v>1531744.9428659258</v>
      </c>
      <c r="P119" s="75"/>
      <c r="S119" s="173"/>
      <c r="T119" s="185"/>
    </row>
    <row r="120" spans="2:20" s="103" customFormat="1">
      <c r="B120" s="230" t="s">
        <v>135</v>
      </c>
      <c r="G120" s="213">
        <v>12091000.000000002</v>
      </c>
      <c r="H120" s="213">
        <v>11279499.999999998</v>
      </c>
      <c r="I120" s="213">
        <v>11166500</v>
      </c>
      <c r="J120" s="213">
        <v>11092580.237895409</v>
      </c>
      <c r="K120" s="213">
        <v>10943107.65480816</v>
      </c>
      <c r="L120" s="213">
        <v>10784033.237446109</v>
      </c>
      <c r="M120" s="213">
        <v>10568288.376388211</v>
      </c>
      <c r="N120" s="213">
        <v>10316190.809313279</v>
      </c>
      <c r="P120" s="75"/>
      <c r="S120" s="173"/>
      <c r="T120" s="185"/>
    </row>
    <row r="121" spans="2:20" s="103" customFormat="1">
      <c r="B121" s="230" t="s">
        <v>130</v>
      </c>
      <c r="G121" s="213">
        <v>0</v>
      </c>
      <c r="H121" s="213">
        <v>0</v>
      </c>
      <c r="I121" s="213">
        <v>930000</v>
      </c>
      <c r="J121" s="213">
        <v>978634.65290273319</v>
      </c>
      <c r="K121" s="213">
        <v>997918.15845904767</v>
      </c>
      <c r="L121" s="213">
        <v>1016210.4586275556</v>
      </c>
      <c r="M121" s="213">
        <v>1028652.6214667714</v>
      </c>
      <c r="N121" s="213">
        <v>1037342.0640408621</v>
      </c>
      <c r="P121" s="75"/>
      <c r="S121" s="173"/>
      <c r="T121" s="185"/>
    </row>
    <row r="122" spans="2:20" s="103" customFormat="1">
      <c r="B122" s="73"/>
      <c r="G122" s="213"/>
      <c r="H122" s="213"/>
      <c r="I122" s="213"/>
      <c r="J122" s="213"/>
      <c r="K122" s="213"/>
      <c r="L122" s="213"/>
      <c r="M122" s="213"/>
      <c r="N122" s="213"/>
      <c r="P122" s="75"/>
      <c r="S122" s="173"/>
      <c r="T122" s="185"/>
    </row>
    <row r="123" spans="2:20" s="103" customFormat="1">
      <c r="B123" s="112" t="s">
        <v>382</v>
      </c>
      <c r="G123" s="213"/>
      <c r="H123" s="213"/>
      <c r="I123" s="213"/>
      <c r="J123" s="213"/>
      <c r="K123" s="213"/>
      <c r="L123" s="213"/>
      <c r="M123" s="213"/>
      <c r="N123" s="213"/>
      <c r="P123" s="75"/>
      <c r="S123" s="173"/>
      <c r="T123" s="185"/>
    </row>
    <row r="124" spans="2:20" s="103" customFormat="1">
      <c r="B124" s="217" t="s">
        <v>335</v>
      </c>
      <c r="G124" s="213">
        <v>0</v>
      </c>
      <c r="H124" s="213">
        <v>0</v>
      </c>
      <c r="I124" s="213">
        <v>0</v>
      </c>
      <c r="J124" s="213">
        <v>685394.9967819989</v>
      </c>
      <c r="K124" s="213">
        <v>662560.55885737832</v>
      </c>
      <c r="L124" s="213">
        <v>636721.72327142139</v>
      </c>
      <c r="M124" s="213">
        <v>615170.0638888916</v>
      </c>
      <c r="N124" s="213">
        <v>594359.48133747315</v>
      </c>
      <c r="P124" s="75"/>
      <c r="S124" s="173"/>
      <c r="T124" s="185"/>
    </row>
    <row r="125" spans="2:20" s="103" customFormat="1">
      <c r="B125" s="217" t="s">
        <v>370</v>
      </c>
      <c r="G125" s="213">
        <v>104970.56314897224</v>
      </c>
      <c r="H125" s="213">
        <v>151000</v>
      </c>
      <c r="I125" s="213">
        <v>367000</v>
      </c>
      <c r="J125" s="213">
        <v>317504.8591998776</v>
      </c>
      <c r="K125" s="213">
        <v>363654.03986241383</v>
      </c>
      <c r="L125" s="213">
        <v>409304.6096071158</v>
      </c>
      <c r="M125" s="213">
        <v>452012.35601863428</v>
      </c>
      <c r="N125" s="213">
        <v>492832.35311120527</v>
      </c>
      <c r="P125" s="75"/>
      <c r="S125" s="173"/>
      <c r="T125" s="185"/>
    </row>
    <row r="126" spans="2:20" s="103" customFormat="1">
      <c r="B126" s="217" t="s">
        <v>371</v>
      </c>
      <c r="G126" s="213">
        <v>342029.43685102777</v>
      </c>
      <c r="H126" s="213">
        <v>817000</v>
      </c>
      <c r="I126" s="213">
        <v>803000</v>
      </c>
      <c r="J126" s="213">
        <v>1034537.7306919997</v>
      </c>
      <c r="K126" s="213">
        <v>1184907.2990703527</v>
      </c>
      <c r="L126" s="213">
        <v>1333652.2252031211</v>
      </c>
      <c r="M126" s="213">
        <v>1472808.4421091671</v>
      </c>
      <c r="N126" s="213">
        <v>1605813.7361554471</v>
      </c>
      <c r="P126" s="75"/>
      <c r="S126" s="173"/>
      <c r="T126" s="185"/>
    </row>
    <row r="127" spans="2:20" s="103" customFormat="1">
      <c r="B127" s="217" t="s">
        <v>375</v>
      </c>
      <c r="G127" s="213">
        <v>547057.80855823692</v>
      </c>
      <c r="H127" s="213">
        <v>408000</v>
      </c>
      <c r="I127" s="213">
        <v>483000</v>
      </c>
      <c r="J127" s="213">
        <v>465739.05076569074</v>
      </c>
      <c r="K127" s="213">
        <v>459463.21435346216</v>
      </c>
      <c r="L127" s="213">
        <v>452784.23015371716</v>
      </c>
      <c r="M127" s="213">
        <v>443725.85016982403</v>
      </c>
      <c r="N127" s="213">
        <v>433141.14588355634</v>
      </c>
      <c r="P127" s="75"/>
      <c r="S127" s="173"/>
      <c r="T127" s="185"/>
    </row>
    <row r="128" spans="2:20" s="103" customFormat="1">
      <c r="B128" s="217" t="s">
        <v>376</v>
      </c>
      <c r="G128" s="213">
        <v>2127942.1914417632</v>
      </c>
      <c r="H128" s="213">
        <v>1707000</v>
      </c>
      <c r="I128" s="213">
        <v>1752000</v>
      </c>
      <c r="J128" s="213">
        <v>1811628.9737976505</v>
      </c>
      <c r="K128" s="213">
        <v>1787217.2628609883</v>
      </c>
      <c r="L128" s="213">
        <v>1761237.3900719187</v>
      </c>
      <c r="M128" s="213">
        <v>1726002.1577942939</v>
      </c>
      <c r="N128" s="213">
        <v>1684829.838375174</v>
      </c>
      <c r="P128" s="75"/>
      <c r="S128" s="173"/>
      <c r="T128" s="185"/>
    </row>
    <row r="129" spans="2:20" s="103" customFormat="1">
      <c r="B129" s="217"/>
      <c r="G129" s="213"/>
      <c r="H129" s="213"/>
      <c r="I129" s="213"/>
      <c r="J129" s="213"/>
      <c r="K129" s="213"/>
      <c r="L129" s="213"/>
      <c r="M129" s="213"/>
      <c r="N129" s="213"/>
      <c r="P129" s="75"/>
      <c r="S129" s="173"/>
      <c r="T129" s="185"/>
    </row>
    <row r="130" spans="2:20" s="103" customFormat="1">
      <c r="B130" s="112" t="s">
        <v>268</v>
      </c>
      <c r="G130" s="213">
        <v>24421999.999999996</v>
      </c>
      <c r="H130" s="213">
        <v>24481500</v>
      </c>
      <c r="I130" s="213">
        <v>24363500.000000004</v>
      </c>
      <c r="J130" s="213">
        <v>24424253.898640901</v>
      </c>
      <c r="K130" s="213">
        <v>24576186.840550162</v>
      </c>
      <c r="L130" s="213">
        <v>24708152.076759163</v>
      </c>
      <c r="M130" s="213">
        <v>24863732.044763684</v>
      </c>
      <c r="N130" s="213">
        <v>25025287.112485915</v>
      </c>
      <c r="P130" s="75"/>
      <c r="S130" s="173"/>
      <c r="T130" s="185"/>
    </row>
    <row r="131" spans="2:20">
      <c r="B131" s="87"/>
      <c r="C131" s="87"/>
      <c r="D131" s="87"/>
      <c r="E131" s="87"/>
      <c r="F131" s="87"/>
      <c r="G131" s="163"/>
      <c r="H131" s="163"/>
      <c r="I131" s="163"/>
      <c r="J131" s="163"/>
      <c r="K131" s="163"/>
      <c r="L131" s="163"/>
      <c r="M131" s="163"/>
      <c r="N131" s="163"/>
    </row>
    <row r="132" spans="2:20" ht="15.75">
      <c r="B132" s="70" t="s">
        <v>267</v>
      </c>
      <c r="C132" s="70"/>
      <c r="D132" s="70"/>
      <c r="E132" s="70"/>
      <c r="F132" s="72"/>
      <c r="G132" s="70"/>
      <c r="H132" s="70"/>
      <c r="I132" s="70"/>
      <c r="J132" s="70"/>
      <c r="K132" s="70"/>
      <c r="L132" s="70"/>
      <c r="M132" s="70"/>
      <c r="N132" s="70"/>
    </row>
    <row r="133" spans="2:20">
      <c r="B133" s="74" t="s">
        <v>114</v>
      </c>
      <c r="C133" s="74"/>
      <c r="D133" s="74"/>
      <c r="E133" s="74" t="s">
        <v>115</v>
      </c>
      <c r="F133" s="74" t="s">
        <v>116</v>
      </c>
      <c r="G133" s="214" t="s">
        <v>91</v>
      </c>
      <c r="H133" s="214" t="s">
        <v>92</v>
      </c>
      <c r="I133" s="214" t="s">
        <v>93</v>
      </c>
      <c r="J133" s="214" t="s">
        <v>94</v>
      </c>
      <c r="K133" s="214" t="s">
        <v>95</v>
      </c>
      <c r="L133" s="214" t="s">
        <v>96</v>
      </c>
      <c r="M133" s="214" t="s">
        <v>97</v>
      </c>
      <c r="N133" s="214" t="s">
        <v>98</v>
      </c>
    </row>
    <row r="134" spans="2:20">
      <c r="B134" s="112" t="s">
        <v>380</v>
      </c>
      <c r="G134" s="213"/>
      <c r="H134" s="213"/>
      <c r="I134" s="213"/>
      <c r="J134" s="213"/>
      <c r="K134" s="213"/>
      <c r="L134" s="213"/>
      <c r="M134" s="213"/>
      <c r="N134" s="213"/>
      <c r="P134" s="75"/>
    </row>
    <row r="135" spans="2:20">
      <c r="B135" s="230" t="s">
        <v>117</v>
      </c>
      <c r="G135" s="213">
        <v>13728813</v>
      </c>
      <c r="H135" s="213">
        <v>12250928</v>
      </c>
      <c r="I135" s="213">
        <v>11418728</v>
      </c>
      <c r="J135" s="213">
        <v>10892261.765502939</v>
      </c>
      <c r="K135" s="213">
        <v>10182470.863005972</v>
      </c>
      <c r="L135" s="213">
        <v>9462100.7377664521</v>
      </c>
      <c r="M135" s="213">
        <v>8862697.4796474334</v>
      </c>
      <c r="N135" s="213">
        <v>8438182.649443252</v>
      </c>
      <c r="P135" s="75"/>
    </row>
    <row r="136" spans="2:20">
      <c r="B136" s="230" t="s">
        <v>118</v>
      </c>
      <c r="G136" s="213">
        <v>3176807</v>
      </c>
      <c r="H136" s="213">
        <v>3127373</v>
      </c>
      <c r="I136" s="213">
        <v>3191445</v>
      </c>
      <c r="J136" s="213">
        <v>2778413.9428513651</v>
      </c>
      <c r="K136" s="213">
        <v>2597359.4490774022</v>
      </c>
      <c r="L136" s="213">
        <v>2413606.3918089839</v>
      </c>
      <c r="M136" s="213">
        <v>2260709.7386067165</v>
      </c>
      <c r="N136" s="213">
        <v>2152423.8794730315</v>
      </c>
      <c r="P136" s="75"/>
    </row>
    <row r="137" spans="2:20">
      <c r="B137" s="230" t="s">
        <v>119</v>
      </c>
      <c r="G137" s="213">
        <v>3609219</v>
      </c>
      <c r="H137" s="213">
        <v>3487124</v>
      </c>
      <c r="I137" s="213">
        <v>3026492</v>
      </c>
      <c r="J137" s="213">
        <v>2950649.1253025653</v>
      </c>
      <c r="K137" s="213">
        <v>2758370.978606401</v>
      </c>
      <c r="L137" s="213">
        <v>2563226.983200049</v>
      </c>
      <c r="M137" s="213">
        <v>2400852.1948090978</v>
      </c>
      <c r="N137" s="213">
        <v>2285853.6445183721</v>
      </c>
      <c r="P137" s="75"/>
    </row>
    <row r="138" spans="2:20">
      <c r="B138" s="230" t="s">
        <v>120</v>
      </c>
      <c r="G138" s="213">
        <v>1684192</v>
      </c>
      <c r="H138" s="213">
        <v>1826284</v>
      </c>
      <c r="I138" s="213">
        <v>1762117</v>
      </c>
      <c r="J138" s="213">
        <v>1542408.0549729187</v>
      </c>
      <c r="K138" s="213">
        <v>1441897.5063901497</v>
      </c>
      <c r="L138" s="213">
        <v>1339888.877911326</v>
      </c>
      <c r="M138" s="213">
        <v>1255009.8662419717</v>
      </c>
      <c r="N138" s="213">
        <v>1194896.0801744957</v>
      </c>
      <c r="P138" s="75"/>
    </row>
    <row r="139" spans="2:20">
      <c r="B139" s="217" t="s">
        <v>163</v>
      </c>
      <c r="G139" s="213">
        <v>22198999.999999996</v>
      </c>
      <c r="H139" s="213">
        <v>20692500</v>
      </c>
      <c r="I139" s="213">
        <v>19401500.000000004</v>
      </c>
      <c r="J139" s="213">
        <v>18163732.88862979</v>
      </c>
      <c r="K139" s="213">
        <v>16980098.797079924</v>
      </c>
      <c r="L139" s="213">
        <v>15778822.990686812</v>
      </c>
      <c r="M139" s="213">
        <v>14779269.27930522</v>
      </c>
      <c r="N139" s="213">
        <v>14071356.253609153</v>
      </c>
      <c r="P139" s="75"/>
    </row>
    <row r="140" spans="2:20">
      <c r="B140" s="230" t="s">
        <v>121</v>
      </c>
      <c r="G140" s="213">
        <v>562789</v>
      </c>
      <c r="H140" s="213">
        <v>555669</v>
      </c>
      <c r="I140" s="213">
        <v>569401</v>
      </c>
      <c r="J140" s="213">
        <v>494584.62161570037</v>
      </c>
      <c r="K140" s="213">
        <v>462355.16620088922</v>
      </c>
      <c r="L140" s="213">
        <v>429645.34031851502</v>
      </c>
      <c r="M140" s="213">
        <v>402428.2535467922</v>
      </c>
      <c r="N140" s="213">
        <v>383152.32067013736</v>
      </c>
      <c r="P140" s="75"/>
    </row>
    <row r="141" spans="2:20">
      <c r="B141" s="230" t="s">
        <v>122</v>
      </c>
      <c r="G141" s="213">
        <v>408693</v>
      </c>
      <c r="H141" s="213">
        <v>330002</v>
      </c>
      <c r="I141" s="213">
        <v>317101</v>
      </c>
      <c r="J141" s="213">
        <v>306816.28241883387</v>
      </c>
      <c r="K141" s="213">
        <v>286822.69332895824</v>
      </c>
      <c r="L141" s="213">
        <v>266531.10572760447</v>
      </c>
      <c r="M141" s="213">
        <v>249646.94674528294</v>
      </c>
      <c r="N141" s="213">
        <v>237689.09402020244</v>
      </c>
      <c r="P141" s="75"/>
    </row>
    <row r="142" spans="2:20">
      <c r="B142" s="236" t="s">
        <v>225</v>
      </c>
      <c r="G142" s="213">
        <v>717579</v>
      </c>
      <c r="H142" s="213">
        <v>739455</v>
      </c>
      <c r="I142" s="213">
        <v>534313</v>
      </c>
      <c r="J142" s="213">
        <v>582963.32158051489</v>
      </c>
      <c r="K142" s="213">
        <v>544974.69524601393</v>
      </c>
      <c r="L142" s="213">
        <v>506419.8597106589</v>
      </c>
      <c r="M142" s="213">
        <v>474339.27609615825</v>
      </c>
      <c r="N142" s="213">
        <v>451618.87322631484</v>
      </c>
      <c r="P142" s="75"/>
    </row>
    <row r="143" spans="2:20">
      <c r="B143" s="217" t="s">
        <v>167</v>
      </c>
      <c r="G143" s="213">
        <v>2594413</v>
      </c>
      <c r="H143" s="213">
        <v>1521075</v>
      </c>
      <c r="I143" s="213">
        <v>1119313</v>
      </c>
      <c r="J143" s="213">
        <v>863240.22561853332</v>
      </c>
      <c r="K143" s="213">
        <v>721288.49664014322</v>
      </c>
      <c r="L143" s="213">
        <v>626437.65041591553</v>
      </c>
      <c r="M143" s="213">
        <v>564574.65351144224</v>
      </c>
      <c r="N143" s="213">
        <v>521185.47039561818</v>
      </c>
      <c r="P143" s="75"/>
    </row>
    <row r="144" spans="2:20">
      <c r="B144" s="217" t="s">
        <v>168</v>
      </c>
      <c r="G144" s="213">
        <v>2162809</v>
      </c>
      <c r="H144" s="213">
        <v>1389783</v>
      </c>
      <c r="I144" s="213">
        <v>612297</v>
      </c>
      <c r="J144" s="213">
        <v>421290.51477328467</v>
      </c>
      <c r="K144" s="213">
        <v>295065.15969631122</v>
      </c>
      <c r="L144" s="213">
        <v>234909.09966857161</v>
      </c>
      <c r="M144" s="213">
        <v>195244.26413523007</v>
      </c>
      <c r="N144" s="213">
        <v>170962.21815858764</v>
      </c>
      <c r="P144" s="75"/>
    </row>
    <row r="145" spans="2:20">
      <c r="B145" s="217" t="s">
        <v>123</v>
      </c>
      <c r="G145" s="213">
        <v>44000</v>
      </c>
      <c r="H145" s="213">
        <v>626000</v>
      </c>
      <c r="I145" s="213">
        <v>1204000</v>
      </c>
      <c r="J145" s="213">
        <v>1523283.1861017563</v>
      </c>
      <c r="K145" s="213">
        <v>1849674.6314769222</v>
      </c>
      <c r="L145" s="213">
        <v>2178549.1729400689</v>
      </c>
      <c r="M145" s="213">
        <v>2463473.134993637</v>
      </c>
      <c r="N145" s="213">
        <v>2678746.7341386005</v>
      </c>
      <c r="P145" s="75"/>
    </row>
    <row r="146" spans="2:20">
      <c r="B146" s="230" t="s">
        <v>124</v>
      </c>
      <c r="G146" s="213">
        <v>956000</v>
      </c>
      <c r="H146" s="213">
        <v>1224000</v>
      </c>
      <c r="I146" s="213">
        <v>768000</v>
      </c>
      <c r="J146" s="213">
        <v>830300.44363438548</v>
      </c>
      <c r="K146" s="213">
        <v>872388.42500877532</v>
      </c>
      <c r="L146" s="213">
        <v>916116.11203617265</v>
      </c>
      <c r="M146" s="213">
        <v>956906.33851504698</v>
      </c>
      <c r="N146" s="213">
        <v>995535.64979526994</v>
      </c>
      <c r="P146" s="75"/>
    </row>
    <row r="147" spans="2:20">
      <c r="B147" s="230" t="s">
        <v>125</v>
      </c>
      <c r="G147" s="213">
        <v>621000</v>
      </c>
      <c r="H147" s="213">
        <v>103000</v>
      </c>
      <c r="I147" s="213">
        <v>410000</v>
      </c>
      <c r="J147" s="213">
        <v>675372.97640390252</v>
      </c>
      <c r="K147" s="213">
        <v>733089.12773386913</v>
      </c>
      <c r="L147" s="213">
        <v>708473.43829736812</v>
      </c>
      <c r="M147" s="213">
        <v>541342.70353239926</v>
      </c>
      <c r="N147" s="213">
        <v>261490.724007643</v>
      </c>
      <c r="P147" s="75"/>
    </row>
    <row r="148" spans="2:20">
      <c r="B148" s="230" t="s">
        <v>126</v>
      </c>
      <c r="G148" s="213">
        <v>447000</v>
      </c>
      <c r="H148" s="213">
        <v>968000</v>
      </c>
      <c r="I148" s="213">
        <v>1170000</v>
      </c>
      <c r="J148" s="213">
        <v>1448818.9625771949</v>
      </c>
      <c r="K148" s="213">
        <v>1759255.0781970848</v>
      </c>
      <c r="L148" s="213">
        <v>2072052.9061571299</v>
      </c>
      <c r="M148" s="213">
        <v>2343048.6362237381</v>
      </c>
      <c r="N148" s="213">
        <v>2547798.7939285776</v>
      </c>
      <c r="O148" s="146"/>
      <c r="P148" s="75"/>
    </row>
    <row r="149" spans="2:20">
      <c r="B149" s="230" t="s">
        <v>127</v>
      </c>
      <c r="G149" s="213">
        <v>2223000.0000000009</v>
      </c>
      <c r="H149" s="213">
        <v>3789000.0000000005</v>
      </c>
      <c r="I149" s="213">
        <v>4962000</v>
      </c>
      <c r="J149" s="213">
        <v>6277849.8085024208</v>
      </c>
      <c r="K149" s="213">
        <v>7622994.6190934284</v>
      </c>
      <c r="L149" s="213">
        <v>8978372.920372609</v>
      </c>
      <c r="M149" s="213">
        <v>10152619.348703012</v>
      </c>
      <c r="N149" s="213">
        <v>11039818.351159249</v>
      </c>
      <c r="P149" s="75"/>
    </row>
    <row r="150" spans="2:20">
      <c r="B150" s="230" t="s">
        <v>128</v>
      </c>
      <c r="G150" s="213">
        <v>600</v>
      </c>
      <c r="H150" s="213">
        <v>1500</v>
      </c>
      <c r="I150" s="213">
        <v>1500</v>
      </c>
      <c r="J150" s="213">
        <v>1700</v>
      </c>
      <c r="K150" s="213">
        <v>1600</v>
      </c>
      <c r="L150" s="213">
        <v>600</v>
      </c>
      <c r="M150" s="213">
        <v>500</v>
      </c>
      <c r="N150" s="213">
        <v>300</v>
      </c>
      <c r="P150" s="75"/>
    </row>
    <row r="151" spans="2:20">
      <c r="B151" s="230" t="s">
        <v>129</v>
      </c>
      <c r="G151" s="213">
        <v>10000</v>
      </c>
      <c r="H151" s="213">
        <v>13000</v>
      </c>
      <c r="I151" s="213">
        <v>13000</v>
      </c>
      <c r="J151" s="213">
        <v>13000</v>
      </c>
      <c r="K151" s="213">
        <v>13000</v>
      </c>
      <c r="L151" s="213">
        <v>13000</v>
      </c>
      <c r="M151" s="213">
        <v>13000</v>
      </c>
      <c r="N151" s="213">
        <v>13000</v>
      </c>
      <c r="P151" s="75"/>
    </row>
    <row r="152" spans="2:20">
      <c r="G152" s="213"/>
      <c r="H152" s="213"/>
      <c r="I152" s="213"/>
      <c r="J152" s="213"/>
      <c r="K152" s="213"/>
      <c r="L152" s="213"/>
      <c r="M152" s="213"/>
      <c r="N152" s="213"/>
      <c r="P152" s="75"/>
    </row>
    <row r="153" spans="2:20">
      <c r="B153" s="112" t="s">
        <v>381</v>
      </c>
      <c r="G153" s="213"/>
      <c r="H153" s="213"/>
      <c r="I153" s="213"/>
      <c r="J153" s="213"/>
      <c r="K153" s="213"/>
      <c r="L153" s="213"/>
      <c r="M153" s="213"/>
      <c r="N153" s="213"/>
      <c r="P153" s="75"/>
    </row>
    <row r="154" spans="2:20">
      <c r="B154" s="217" t="s">
        <v>349</v>
      </c>
      <c r="G154" s="213">
        <v>0</v>
      </c>
      <c r="H154" s="213">
        <v>0</v>
      </c>
      <c r="I154" s="213">
        <v>0</v>
      </c>
      <c r="J154" s="213">
        <v>627784.98085024208</v>
      </c>
      <c r="K154" s="213">
        <v>762299.46190934279</v>
      </c>
      <c r="L154" s="213">
        <v>897837.29203726084</v>
      </c>
      <c r="M154" s="213">
        <v>1015261.934870301</v>
      </c>
      <c r="N154" s="213">
        <v>1103981.8351159247</v>
      </c>
      <c r="P154" s="75"/>
    </row>
    <row r="155" spans="2:20">
      <c r="B155" s="237" t="s">
        <v>269</v>
      </c>
      <c r="G155" s="213">
        <v>0</v>
      </c>
      <c r="H155" s="213">
        <v>0</v>
      </c>
      <c r="I155" s="213">
        <v>0</v>
      </c>
      <c r="J155" s="213">
        <v>10000</v>
      </c>
      <c r="K155" s="213">
        <v>9041.6797829596726</v>
      </c>
      <c r="L155" s="213">
        <v>8027.3928091664129</v>
      </c>
      <c r="M155" s="213">
        <v>7123.3206565967012</v>
      </c>
      <c r="N155" s="213">
        <v>6285.9747930502208</v>
      </c>
      <c r="P155" s="75"/>
    </row>
    <row r="156" spans="2:20">
      <c r="B156" s="217" t="s">
        <v>374</v>
      </c>
      <c r="G156" s="213">
        <v>0</v>
      </c>
      <c r="H156" s="213">
        <v>0</v>
      </c>
      <c r="I156" s="213">
        <v>0</v>
      </c>
      <c r="J156" s="213">
        <v>967870.09305285534</v>
      </c>
      <c r="K156" s="213">
        <v>944422.68578495679</v>
      </c>
      <c r="L156" s="213">
        <v>915861.26357435831</v>
      </c>
      <c r="M156" s="213">
        <v>889760.7298621831</v>
      </c>
      <c r="N156" s="213">
        <v>875047.77733405598</v>
      </c>
      <c r="P156" s="75"/>
    </row>
    <row r="157" spans="2:20">
      <c r="G157" s="213"/>
      <c r="H157" s="213"/>
      <c r="I157" s="213"/>
      <c r="J157" s="213"/>
      <c r="K157" s="213"/>
      <c r="L157" s="213"/>
      <c r="M157" s="213"/>
      <c r="N157" s="213"/>
      <c r="P157" s="75"/>
    </row>
    <row r="158" spans="2:20">
      <c r="B158" s="112" t="s">
        <v>379</v>
      </c>
      <c r="G158" s="213"/>
      <c r="H158" s="213"/>
      <c r="I158" s="213"/>
      <c r="J158" s="213"/>
      <c r="K158" s="213"/>
      <c r="L158" s="213"/>
      <c r="M158" s="213"/>
      <c r="N158" s="213"/>
      <c r="P158" s="75"/>
    </row>
    <row r="159" spans="2:20" s="103" customFormat="1">
      <c r="B159" s="230" t="s">
        <v>134</v>
      </c>
      <c r="G159" s="213">
        <v>2675000</v>
      </c>
      <c r="H159" s="213">
        <v>2115000</v>
      </c>
      <c r="I159" s="213">
        <v>2235000</v>
      </c>
      <c r="J159" s="213">
        <v>2219422.2871011682</v>
      </c>
      <c r="K159" s="213">
        <v>2121092.5469676899</v>
      </c>
      <c r="L159" s="213">
        <v>2027590.124319362</v>
      </c>
      <c r="M159" s="213">
        <v>1958863.3141709382</v>
      </c>
      <c r="N159" s="213">
        <v>1939938.331003272</v>
      </c>
      <c r="P159" s="75"/>
      <c r="S159" s="173"/>
      <c r="T159" s="185"/>
    </row>
    <row r="160" spans="2:20">
      <c r="B160" s="230" t="s">
        <v>133</v>
      </c>
      <c r="C160" s="103"/>
      <c r="D160" s="103"/>
      <c r="E160" s="103"/>
      <c r="F160" s="103"/>
      <c r="G160" s="213">
        <v>103000</v>
      </c>
      <c r="H160" s="213">
        <v>202000</v>
      </c>
      <c r="I160" s="213">
        <v>398000</v>
      </c>
      <c r="J160" s="213">
        <v>81477.899999999994</v>
      </c>
      <c r="K160" s="213">
        <v>57034.529999999992</v>
      </c>
      <c r="L160" s="213">
        <v>39924.170999999995</v>
      </c>
      <c r="M160" s="213">
        <v>27946.919699999995</v>
      </c>
      <c r="N160" s="213">
        <v>19562.843789999995</v>
      </c>
    </row>
    <row r="161" spans="2:16">
      <c r="B161" s="230" t="s">
        <v>132</v>
      </c>
      <c r="C161" s="103"/>
      <c r="D161" s="103"/>
      <c r="E161" s="103"/>
      <c r="F161" s="103"/>
      <c r="G161" s="213">
        <v>324000</v>
      </c>
      <c r="H161" s="213">
        <v>393000</v>
      </c>
      <c r="I161" s="213">
        <v>312000</v>
      </c>
      <c r="J161" s="213">
        <v>225462.70235960974</v>
      </c>
      <c r="K161" s="213">
        <v>152153.78958622279</v>
      </c>
      <c r="L161" s="213">
        <v>81306.445756485991</v>
      </c>
      <c r="M161" s="213">
        <v>27172.175403246078</v>
      </c>
      <c r="N161" s="213">
        <v>1023.1030024817782</v>
      </c>
    </row>
    <row r="162" spans="2:16">
      <c r="B162" s="230" t="s">
        <v>131</v>
      </c>
      <c r="C162" s="103"/>
      <c r="D162" s="103"/>
      <c r="E162" s="103"/>
      <c r="F162" s="103"/>
      <c r="G162" s="213">
        <v>3002000</v>
      </c>
      <c r="H162" s="213">
        <v>2715000</v>
      </c>
      <c r="I162" s="213">
        <v>2566000</v>
      </c>
      <c r="J162" s="213">
        <v>1930249.8060989948</v>
      </c>
      <c r="K162" s="213">
        <v>1682403.6272755878</v>
      </c>
      <c r="L162" s="213">
        <v>1439097.9103473374</v>
      </c>
      <c r="M162" s="213">
        <v>1242460.955293468</v>
      </c>
      <c r="N162" s="213">
        <v>1131928.7277739083</v>
      </c>
    </row>
    <row r="163" spans="2:16">
      <c r="B163" s="230" t="s">
        <v>135</v>
      </c>
      <c r="C163" s="103"/>
      <c r="D163" s="103"/>
      <c r="E163" s="103"/>
      <c r="F163" s="103"/>
      <c r="G163" s="213">
        <v>12091000.000000002</v>
      </c>
      <c r="H163" s="213">
        <v>11279499.999999998</v>
      </c>
      <c r="I163" s="213">
        <v>11166500</v>
      </c>
      <c r="J163" s="213">
        <v>10810338.748900048</v>
      </c>
      <c r="K163" s="213">
        <v>10331395.284147071</v>
      </c>
      <c r="L163" s="213">
        <v>9875964.6666635145</v>
      </c>
      <c r="M163" s="213">
        <v>9541210.8421418201</v>
      </c>
      <c r="N163" s="213">
        <v>9449031.233038716</v>
      </c>
      <c r="O163" s="75"/>
      <c r="P163" s="75"/>
    </row>
    <row r="164" spans="2:16">
      <c r="B164" s="230" t="s">
        <v>130</v>
      </c>
      <c r="C164" s="103"/>
      <c r="D164" s="103"/>
      <c r="E164" s="103"/>
      <c r="F164" s="103"/>
      <c r="G164" s="213">
        <v>0</v>
      </c>
      <c r="H164" s="213">
        <v>0</v>
      </c>
      <c r="I164" s="213">
        <v>930000</v>
      </c>
      <c r="J164" s="213">
        <v>973569.62082031299</v>
      </c>
      <c r="K164" s="213">
        <v>987083.68571371259</v>
      </c>
      <c r="L164" s="213">
        <v>1002595.9135437397</v>
      </c>
      <c r="M164" s="213">
        <v>1020209.6870798344</v>
      </c>
      <c r="N164" s="213">
        <v>1044736.5538472838</v>
      </c>
      <c r="O164" s="75"/>
      <c r="P164" s="75"/>
    </row>
    <row r="165" spans="2:16">
      <c r="C165" s="103"/>
      <c r="D165" s="103"/>
      <c r="E165" s="103"/>
      <c r="F165" s="103"/>
      <c r="G165" s="213"/>
      <c r="H165" s="213"/>
      <c r="I165" s="213"/>
      <c r="J165" s="213"/>
      <c r="K165" s="213"/>
      <c r="L165" s="213"/>
      <c r="M165" s="213"/>
      <c r="N165" s="213"/>
      <c r="O165" s="75"/>
      <c r="P165" s="75"/>
    </row>
    <row r="166" spans="2:16">
      <c r="B166" s="112" t="s">
        <v>382</v>
      </c>
      <c r="C166" s="103"/>
      <c r="D166" s="103"/>
      <c r="E166" s="103"/>
      <c r="F166" s="103"/>
      <c r="G166" s="213"/>
      <c r="H166" s="213"/>
      <c r="I166" s="213"/>
      <c r="J166" s="213"/>
      <c r="K166" s="213"/>
      <c r="L166" s="213"/>
      <c r="M166" s="213"/>
      <c r="N166" s="213"/>
      <c r="O166" s="75"/>
      <c r="P166" s="75"/>
    </row>
    <row r="167" spans="2:16">
      <c r="B167" s="217" t="s">
        <v>335</v>
      </c>
      <c r="C167" s="103"/>
      <c r="D167" s="103"/>
      <c r="E167" s="103"/>
      <c r="F167" s="103"/>
      <c r="G167" s="213">
        <v>0</v>
      </c>
      <c r="H167" s="213">
        <v>0</v>
      </c>
      <c r="I167" s="213">
        <v>0</v>
      </c>
      <c r="J167" s="213">
        <v>671059.96366560552</v>
      </c>
      <c r="K167" s="213">
        <v>630428.45648284315</v>
      </c>
      <c r="L167" s="213">
        <v>586839.43518326583</v>
      </c>
      <c r="M167" s="213">
        <v>551813.17282231327</v>
      </c>
      <c r="N167" s="213">
        <v>526829.31233658618</v>
      </c>
      <c r="O167" s="75"/>
      <c r="P167" s="75"/>
    </row>
    <row r="168" spans="2:16">
      <c r="B168" s="217" t="s">
        <v>370</v>
      </c>
      <c r="C168" s="103"/>
      <c r="D168" s="103"/>
      <c r="E168" s="103"/>
      <c r="F168" s="103"/>
      <c r="G168" s="213">
        <v>104970.56314897224</v>
      </c>
      <c r="H168" s="213">
        <v>151000</v>
      </c>
      <c r="I168" s="213">
        <v>367000</v>
      </c>
      <c r="J168" s="213">
        <v>340231.19105735543</v>
      </c>
      <c r="K168" s="213">
        <v>413131.98273162683</v>
      </c>
      <c r="L168" s="213">
        <v>486587.3835207572</v>
      </c>
      <c r="M168" s="213">
        <v>550226.25241574319</v>
      </c>
      <c r="N168" s="213">
        <v>598308.44337573845</v>
      </c>
      <c r="O168" s="75"/>
      <c r="P168" s="75"/>
    </row>
    <row r="169" spans="2:16">
      <c r="B169" s="217" t="s">
        <v>371</v>
      </c>
      <c r="C169" s="103"/>
      <c r="D169" s="103"/>
      <c r="E169" s="103"/>
      <c r="F169" s="103"/>
      <c r="G169" s="213">
        <v>342029.43685102777</v>
      </c>
      <c r="H169" s="213">
        <v>817000</v>
      </c>
      <c r="I169" s="213">
        <v>803000</v>
      </c>
      <c r="J169" s="213">
        <v>1108587.7715198395</v>
      </c>
      <c r="K169" s="213">
        <v>1346123.095465458</v>
      </c>
      <c r="L169" s="213">
        <v>1585465.5226363726</v>
      </c>
      <c r="M169" s="213">
        <v>1792822.3838079949</v>
      </c>
      <c r="N169" s="213">
        <v>1949490.3505528392</v>
      </c>
      <c r="O169" s="75"/>
      <c r="P169" s="75"/>
    </row>
    <row r="170" spans="2:16">
      <c r="B170" s="217" t="s">
        <v>375</v>
      </c>
      <c r="C170" s="103"/>
      <c r="D170" s="103"/>
      <c r="E170" s="103"/>
      <c r="F170" s="103"/>
      <c r="G170" s="213">
        <v>547057.80855823692</v>
      </c>
      <c r="H170" s="213">
        <v>408000</v>
      </c>
      <c r="I170" s="213">
        <v>483000</v>
      </c>
      <c r="J170" s="213">
        <v>453888.70753154217</v>
      </c>
      <c r="K170" s="213">
        <v>433779.5291563939</v>
      </c>
      <c r="L170" s="213">
        <v>414657.57385587791</v>
      </c>
      <c r="M170" s="213">
        <v>400602.4194076556</v>
      </c>
      <c r="N170" s="213">
        <v>396732.11667169107</v>
      </c>
      <c r="O170" s="75"/>
      <c r="P170" s="75"/>
    </row>
    <row r="171" spans="2:16">
      <c r="B171" s="217" t="s">
        <v>376</v>
      </c>
      <c r="C171" s="103"/>
      <c r="D171" s="103"/>
      <c r="E171" s="103"/>
      <c r="F171" s="103"/>
      <c r="G171" s="213">
        <v>2127942.1914417632</v>
      </c>
      <c r="H171" s="213">
        <v>1707000</v>
      </c>
      <c r="I171" s="213">
        <v>1752000</v>
      </c>
      <c r="J171" s="213">
        <v>1765533.5795696261</v>
      </c>
      <c r="K171" s="213">
        <v>1687313.017811296</v>
      </c>
      <c r="L171" s="213">
        <v>1612932.5504634841</v>
      </c>
      <c r="M171" s="213">
        <v>1558260.8947632825</v>
      </c>
      <c r="N171" s="213">
        <v>1543206.2143315808</v>
      </c>
      <c r="O171" s="75"/>
      <c r="P171" s="75"/>
    </row>
    <row r="172" spans="2:16">
      <c r="B172" s="217"/>
      <c r="C172" s="103"/>
      <c r="D172" s="103"/>
      <c r="E172" s="103"/>
      <c r="F172" s="103"/>
      <c r="G172" s="213"/>
      <c r="H172" s="213"/>
      <c r="I172" s="213"/>
      <c r="J172" s="213"/>
      <c r="K172" s="213"/>
      <c r="L172" s="213"/>
      <c r="M172" s="213"/>
      <c r="N172" s="213"/>
      <c r="O172" s="75"/>
      <c r="P172" s="75"/>
    </row>
    <row r="173" spans="2:16">
      <c r="B173" s="112" t="s">
        <v>268</v>
      </c>
      <c r="C173" s="103"/>
      <c r="D173" s="103"/>
      <c r="E173" s="103"/>
      <c r="F173" s="103"/>
      <c r="G173" s="213">
        <v>24421999.999999996</v>
      </c>
      <c r="H173" s="213">
        <v>24481500</v>
      </c>
      <c r="I173" s="213">
        <v>24363500.000000004</v>
      </c>
      <c r="J173" s="213">
        <v>24441582.697132211</v>
      </c>
      <c r="K173" s="213">
        <v>24603093.416173354</v>
      </c>
      <c r="L173" s="213">
        <v>24757195.911059421</v>
      </c>
      <c r="M173" s="213">
        <v>24931888.628008232</v>
      </c>
      <c r="N173" s="213">
        <v>25111174.604768403</v>
      </c>
      <c r="O173" s="75"/>
      <c r="P173" s="75"/>
    </row>
    <row r="174" spans="2:16">
      <c r="O174" s="75"/>
      <c r="P174" s="75"/>
    </row>
    <row r="175" spans="2:16">
      <c r="O175" s="75"/>
      <c r="P175" s="75"/>
    </row>
    <row r="176" spans="2:16">
      <c r="O176" s="75"/>
      <c r="P176" s="75"/>
    </row>
    <row r="177" spans="15:16">
      <c r="O177" s="75"/>
      <c r="P177" s="75"/>
    </row>
    <row r="178" spans="15:16">
      <c r="O178" s="75"/>
      <c r="P178" s="75"/>
    </row>
    <row r="179" spans="15:16">
      <c r="O179" s="75"/>
      <c r="P179" s="75"/>
    </row>
    <row r="180" spans="15:16">
      <c r="O180" s="75"/>
      <c r="P180" s="75"/>
    </row>
    <row r="181" spans="15:16">
      <c r="O181" s="75"/>
      <c r="P181" s="75"/>
    </row>
    <row r="182" spans="15:16">
      <c r="O182" s="75"/>
      <c r="P182" s="75"/>
    </row>
    <row r="183" spans="15:16">
      <c r="O183" s="75"/>
      <c r="P183" s="75"/>
    </row>
    <row r="184" spans="15:16">
      <c r="O184" s="75"/>
      <c r="P184" s="75"/>
    </row>
    <row r="185" spans="15:16">
      <c r="O185" s="75"/>
      <c r="P185" s="75"/>
    </row>
    <row r="186" spans="15:16">
      <c r="O186" s="75"/>
      <c r="P186" s="75"/>
    </row>
    <row r="187" spans="15:16">
      <c r="O187" s="75"/>
      <c r="P187" s="75"/>
    </row>
    <row r="188" spans="15:16">
      <c r="O188" s="75"/>
      <c r="P188" s="75"/>
    </row>
    <row r="189" spans="15:16">
      <c r="O189" s="75"/>
      <c r="P189" s="75"/>
    </row>
    <row r="190" spans="15:16">
      <c r="O190" s="75"/>
      <c r="P190" s="75"/>
    </row>
    <row r="191" spans="15:16">
      <c r="O191" s="75"/>
      <c r="P191" s="75"/>
    </row>
    <row r="192" spans="15:16">
      <c r="O192" s="75"/>
      <c r="P192" s="75"/>
    </row>
    <row r="193" spans="15:16">
      <c r="O193" s="75"/>
      <c r="P193" s="75"/>
    </row>
    <row r="194" spans="15:16">
      <c r="O194" s="75"/>
      <c r="P194" s="75"/>
    </row>
    <row r="195" spans="15:16">
      <c r="O195" s="75"/>
      <c r="P195" s="75"/>
    </row>
  </sheetData>
  <dataValidations count="1">
    <dataValidation type="list" allowBlank="1" showInputMessage="1" showErrorMessage="1" sqref="P3">
      <formula1>"Low, Medium, High"</formula1>
    </dataValidation>
  </dataValidations>
  <pageMargins left="0.70866141732283472" right="0.70866141732283472" top="0.51181102362204722" bottom="0.51181102362204722" header="0.51181102362204722" footer="0.35433070866141736"/>
  <pageSetup paperSize="9" scale="95" orientation="landscape" horizontalDpi="4294967292" verticalDpi="4294967292" r:id="rId1"/>
  <headerFooter alignWithMargins="0">
    <oddFooter xml:space="preserve">&amp;L&amp;F : &amp;A&amp;CPrinted at &amp;T on &amp;D&amp;RCommercial in confidence © Analysys Mason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nsultation" ma:contentTypeID="0x01010069D966672F1AE243BB4E6476A93ECA5E0058C9C1295FE32149856B25A61AF2DCB2" ma:contentTypeVersion="2" ma:contentTypeDescription="document issued for internal and external comment&#10;" ma:contentTypeScope="" ma:versionID="ecba10670e9cd9de98f301b8ce666ddd">
  <xsd:schema xmlns:xsd="http://www.w3.org/2001/XMLSchema" xmlns:p="http://schemas.microsoft.com/office/2006/metadata/properties" targetNamespace="http://schemas.microsoft.com/office/2006/metadata/properties" ma:root="true" ma:fieldsID="acda2593d4989a023ad5ff290920be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7EF56-0A5D-45AE-88FA-7F6161544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72AB7FA-9FC3-490C-A0C7-FD7FDC6CE804}">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6DAC87F6-70A7-48A6-9A22-40395AAEFC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64</vt:i4>
      </vt:variant>
    </vt:vector>
  </HeadingPairs>
  <TitlesOfParts>
    <vt:vector size="73" baseType="lpstr">
      <vt:lpstr>Contents</vt:lpstr>
      <vt:lpstr>Version History</vt:lpstr>
      <vt:lpstr>Quality Assurance</vt:lpstr>
      <vt:lpstr>Style Guidelines</vt:lpstr>
      <vt:lpstr>Scenarios</vt:lpstr>
      <vt:lpstr>Inputs</vt:lpstr>
      <vt:lpstr>Rental Forecasts</vt:lpstr>
      <vt:lpstr>Other Forecasts</vt:lpstr>
      <vt:lpstr>Outputs</vt:lpstr>
      <vt:lpstr>bus_voice_lines</vt:lpstr>
      <vt:lpstr>business_sites</vt:lpstr>
      <vt:lpstr>churn</vt:lpstr>
      <vt:lpstr>forecast_mpf</vt:lpstr>
      <vt:lpstr>forecast_smpf</vt:lpstr>
      <vt:lpstr>forecast_wlr</vt:lpstr>
      <vt:lpstr>households</vt:lpstr>
      <vt:lpstr>mpf_bm</vt:lpstr>
      <vt:lpstr>mpf_c</vt:lpstr>
      <vt:lpstr>mpf_hc</vt:lpstr>
      <vt:lpstr>mpf_hr</vt:lpstr>
      <vt:lpstr>mpf_np</vt:lpstr>
      <vt:lpstr>mpf_rb</vt:lpstr>
      <vt:lpstr>mpf_rentals_total</vt:lpstr>
      <vt:lpstr>mpf_sc</vt:lpstr>
      <vt:lpstr>mpf_sm</vt:lpstr>
      <vt:lpstr>mpf_tc</vt:lpstr>
      <vt:lpstr>or_btw_fttx</vt:lpstr>
      <vt:lpstr>or_fttp</vt:lpstr>
      <vt:lpstr>or_internal_fttx</vt:lpstr>
      <vt:lpstr>or_mpf</vt:lpstr>
      <vt:lpstr>or_mpf_no_uplift</vt:lpstr>
      <vt:lpstr>or_smpf</vt:lpstr>
      <vt:lpstr>or_smpf_no_uplift</vt:lpstr>
      <vt:lpstr>or_wlr</vt:lpstr>
      <vt:lpstr>or_wlr_no_uplift</vt:lpstr>
      <vt:lpstr>population</vt:lpstr>
      <vt:lpstr>res_voice_lines</vt:lpstr>
      <vt:lpstr>scen_BS</vt:lpstr>
      <vt:lpstr>scen_effect_MoHH</vt:lpstr>
      <vt:lpstr>scen_lines_per_B</vt:lpstr>
      <vt:lpstr>scen_lines_per_HH</vt:lpstr>
      <vt:lpstr>scen_MoHH</vt:lpstr>
      <vt:lpstr>scen_smpf_mig</vt:lpstr>
      <vt:lpstr>scen_tot_bb</vt:lpstr>
      <vt:lpstr>scen_tot_bt_bb</vt:lpstr>
      <vt:lpstr>smpf_bm</vt:lpstr>
      <vt:lpstr>smpf_c</vt:lpstr>
      <vt:lpstr>smpf_hc</vt:lpstr>
      <vt:lpstr>smpf_np</vt:lpstr>
      <vt:lpstr>SMPF_rentals_total</vt:lpstr>
      <vt:lpstr>smpf_sc</vt:lpstr>
      <vt:lpstr>smpf_simc</vt:lpstr>
      <vt:lpstr>smpf_simm</vt:lpstr>
      <vt:lpstr>smpf_sm</vt:lpstr>
      <vt:lpstr>tot_lines</vt:lpstr>
      <vt:lpstr>tot_voice_lines</vt:lpstr>
      <vt:lpstr>total_mpf_smpf</vt:lpstr>
      <vt:lpstr>wlr_bci</vt:lpstr>
      <vt:lpstr>wlr_bpte</vt:lpstr>
      <vt:lpstr>wlr_bpti</vt:lpstr>
      <vt:lpstr>wlr_bre</vt:lpstr>
      <vt:lpstr>wlr_bri</vt:lpstr>
      <vt:lpstr>wlr_ce</vt:lpstr>
      <vt:lpstr>wlr_con</vt:lpstr>
      <vt:lpstr>wlr_pci</vt:lpstr>
      <vt:lpstr>wlr_pre</vt:lpstr>
      <vt:lpstr>wlr_pri</vt:lpstr>
      <vt:lpstr>WLR_rentals_total</vt:lpstr>
      <vt:lpstr>wlr_sos_mpf</vt:lpstr>
      <vt:lpstr>Workbook.Objective</vt:lpstr>
      <vt:lpstr>Workbook.Status</vt:lpstr>
      <vt:lpstr>Workbook.Title</vt:lpstr>
      <vt:lpstr>Workbook.Version</vt:lpstr>
    </vt:vector>
  </TitlesOfParts>
  <Company>Analysys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13 - Volumes Forecasting Model</dc:title>
  <dc:creator>Duncan.Gray</dc:creator>
  <cp:lastModifiedBy>duncan.gray</cp:lastModifiedBy>
  <cp:lastPrinted>2013-06-13T10:13:06Z</cp:lastPrinted>
  <dcterms:created xsi:type="dcterms:W3CDTF">1997-01-23T15:12:23Z</dcterms:created>
  <dcterms:modified xsi:type="dcterms:W3CDTF">2013-12-13T13:08:56Z</dcterms:modified>
  <cp:contentType>Consultation</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0x01010069D966672F1AE243BB4E6476A93ECA5E0058C9C1295FE32149856B25A61AF2DCB2</vt:lpwstr>
  </property>
</Properties>
</file>